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LJFB-1" sheetId="11" r:id="rId1"/>
    <sheet name="LJFB-2" sheetId="10" r:id="rId2"/>
    <sheet name="LJFB-3" sheetId="9" r:id="rId3"/>
  </sheets>
  <definedNames>
    <definedName name="_xlnm.Print_Area" localSheetId="0">'LJFB-1'!$A$1:$I$101</definedName>
    <definedName name="_xlnm.Print_Area" localSheetId="1">'LJFB-2'!$A$1:$I$103</definedName>
    <definedName name="_xlnm.Print_Area" localSheetId="2">'LJFB-3'!$A$1:$I$84</definedName>
    <definedName name="_xlnm.Print_Titles" localSheetId="0">'LJFB-1'!$1:$2</definedName>
    <definedName name="_xlnm.Print_Titles" localSheetId="1">'LJFB-2'!$1:$2</definedName>
    <definedName name="_xlnm.Print_Titles" localSheetId="2">'LJFB-3'!$1:$2</definedName>
  </definedNames>
  <calcPr calcId="125725"/>
</workbook>
</file>

<file path=xl/calcChain.xml><?xml version="1.0" encoding="utf-8"?>
<calcChain xmlns="http://schemas.openxmlformats.org/spreadsheetml/2006/main">
  <c r="F76" i="9"/>
  <c r="D75"/>
  <c r="D74"/>
  <c r="F74" s="1"/>
  <c r="F73"/>
  <c r="D72"/>
  <c r="F72" s="1"/>
  <c r="F71"/>
  <c r="D71"/>
  <c r="F69"/>
  <c r="F68"/>
  <c r="F67"/>
  <c r="D66"/>
  <c r="F66" s="1"/>
  <c r="D65"/>
  <c r="F65" s="1"/>
  <c r="F62"/>
  <c r="F61"/>
  <c r="F60"/>
  <c r="F59"/>
  <c r="F58"/>
  <c r="F57"/>
  <c r="F56"/>
  <c r="D54"/>
  <c r="F54" s="1"/>
  <c r="F53"/>
  <c r="F52"/>
  <c r="F51"/>
  <c r="D51"/>
  <c r="F50"/>
  <c r="F49"/>
  <c r="F48"/>
  <c r="F47"/>
  <c r="F46"/>
  <c r="F44"/>
  <c r="F43"/>
  <c r="D41"/>
  <c r="F41" s="1"/>
  <c r="F40"/>
  <c r="F38"/>
  <c r="D38"/>
  <c r="F37"/>
  <c r="F34"/>
  <c r="F33"/>
  <c r="F32"/>
  <c r="F31"/>
  <c r="F30"/>
  <c r="D30"/>
  <c r="F28"/>
  <c r="F27"/>
  <c r="F25"/>
  <c r="F24"/>
  <c r="F22"/>
  <c r="D21"/>
  <c r="F21" s="1"/>
  <c r="F19"/>
  <c r="F18"/>
  <c r="F17"/>
  <c r="F16"/>
  <c r="F15"/>
  <c r="F13"/>
  <c r="F12"/>
  <c r="F11"/>
  <c r="F10"/>
  <c r="F8"/>
  <c r="F6"/>
  <c r="F5"/>
  <c r="E3"/>
  <c r="F95" i="10"/>
  <c r="D94"/>
  <c r="F94" s="1"/>
  <c r="D93"/>
  <c r="D92"/>
  <c r="F92" s="1"/>
  <c r="F91"/>
  <c r="D90"/>
  <c r="F90" s="1"/>
  <c r="D89"/>
  <c r="F89" s="1"/>
  <c r="D87"/>
  <c r="F87" s="1"/>
  <c r="F86"/>
  <c r="D85"/>
  <c r="F85" s="1"/>
  <c r="D84"/>
  <c r="F84" s="1"/>
  <c r="D82"/>
  <c r="F82" s="1"/>
  <c r="F81"/>
  <c r="D80"/>
  <c r="F80" s="1"/>
  <c r="D79"/>
  <c r="F79" s="1"/>
  <c r="D78"/>
  <c r="D77"/>
  <c r="F77" s="1"/>
  <c r="F76"/>
  <c r="F75"/>
  <c r="D75"/>
  <c r="D74"/>
  <c r="F74" s="1"/>
  <c r="D72"/>
  <c r="F72" s="1"/>
  <c r="D71"/>
  <c r="F71" s="1"/>
  <c r="D70"/>
  <c r="F70" s="1"/>
  <c r="D69"/>
  <c r="F69" s="1"/>
  <c r="F68"/>
  <c r="F67"/>
  <c r="F66"/>
  <c r="F65"/>
  <c r="F64"/>
  <c r="D64"/>
  <c r="F61"/>
  <c r="F60"/>
  <c r="F59"/>
  <c r="F58"/>
  <c r="F57"/>
  <c r="F56"/>
  <c r="F55"/>
  <c r="D55"/>
  <c r="F53"/>
  <c r="F52"/>
  <c r="F51"/>
  <c r="F50"/>
  <c r="D49"/>
  <c r="F49" s="1"/>
  <c r="F48"/>
  <c r="F47"/>
  <c r="D46"/>
  <c r="F46" s="1"/>
  <c r="F43"/>
  <c r="D41"/>
  <c r="F41" s="1"/>
  <c r="F40"/>
  <c r="D38"/>
  <c r="F38" s="1"/>
  <c r="F37"/>
  <c r="F34"/>
  <c r="F33"/>
  <c r="F32"/>
  <c r="F31"/>
  <c r="D30"/>
  <c r="F30" s="1"/>
  <c r="F28"/>
  <c r="F27"/>
  <c r="D25"/>
  <c r="F25" s="1"/>
  <c r="D24"/>
  <c r="F24" s="1"/>
  <c r="F22"/>
  <c r="F21"/>
  <c r="F19"/>
  <c r="F18"/>
  <c r="F17"/>
  <c r="F16"/>
  <c r="F15"/>
  <c r="F14"/>
  <c r="F12"/>
  <c r="F11"/>
  <c r="F10"/>
  <c r="F8"/>
  <c r="F6"/>
  <c r="F5"/>
  <c r="E3"/>
  <c r="F93" i="11"/>
  <c r="F92"/>
  <c r="D90"/>
  <c r="F90" s="1"/>
  <c r="F89"/>
  <c r="F88"/>
  <c r="D88"/>
  <c r="D87"/>
  <c r="F87" s="1"/>
  <c r="D86"/>
  <c r="D85"/>
  <c r="F85" s="1"/>
  <c r="F84"/>
  <c r="D83"/>
  <c r="F83" s="1"/>
  <c r="D82"/>
  <c r="F82" s="1"/>
  <c r="D80"/>
  <c r="F80" s="1"/>
  <c r="F79"/>
  <c r="D78"/>
  <c r="F78" s="1"/>
  <c r="D77"/>
  <c r="F77" s="1"/>
  <c r="D75"/>
  <c r="F75" s="1"/>
  <c r="F74"/>
  <c r="D73"/>
  <c r="F73" s="1"/>
  <c r="D72"/>
  <c r="F72" s="1"/>
  <c r="F70"/>
  <c r="D70"/>
  <c r="D69"/>
  <c r="F69" s="1"/>
  <c r="D68"/>
  <c r="F68" s="1"/>
  <c r="D67"/>
  <c r="F67" s="1"/>
  <c r="D66"/>
  <c r="F66" s="1"/>
  <c r="D65"/>
  <c r="F65" s="1"/>
  <c r="F64"/>
  <c r="D64"/>
  <c r="D63"/>
  <c r="F63" s="1"/>
  <c r="D62"/>
  <c r="F62" s="1"/>
  <c r="F59"/>
  <c r="F58"/>
  <c r="F57"/>
  <c r="F56"/>
  <c r="F55"/>
  <c r="F54"/>
  <c r="D53"/>
  <c r="F53" s="1"/>
  <c r="D51"/>
  <c r="F51" s="1"/>
  <c r="F50"/>
  <c r="F49"/>
  <c r="D47"/>
  <c r="D48" s="1"/>
  <c r="F48" s="1"/>
  <c r="F46"/>
  <c r="F45"/>
  <c r="F44"/>
  <c r="F41"/>
  <c r="D38"/>
  <c r="D39" s="1"/>
  <c r="F39" s="1"/>
  <c r="F36"/>
  <c r="F35"/>
  <c r="F32"/>
  <c r="F31"/>
  <c r="F30"/>
  <c r="D29"/>
  <c r="F29" s="1"/>
  <c r="D28"/>
  <c r="F28" s="1"/>
  <c r="F26"/>
  <c r="F24"/>
  <c r="D23"/>
  <c r="F23" s="1"/>
  <c r="F21"/>
  <c r="F20"/>
  <c r="F18"/>
  <c r="F17"/>
  <c r="F16"/>
  <c r="F15"/>
  <c r="F14"/>
  <c r="F12"/>
  <c r="F11"/>
  <c r="F10"/>
  <c r="F8"/>
  <c r="F6"/>
  <c r="F5"/>
  <c r="E3"/>
  <c r="F38" l="1"/>
  <c r="F47"/>
  <c r="F94" s="1"/>
  <c r="F96" i="10"/>
  <c r="F77" i="9"/>
</calcChain>
</file>

<file path=xl/sharedStrings.xml><?xml version="1.0" encoding="utf-8"?>
<sst xmlns="http://schemas.openxmlformats.org/spreadsheetml/2006/main" count="1157" uniqueCount="272">
  <si>
    <t xml:space="preserve"> 上饶野生动物乐园主干道道路工程路基工程量清单（LJFB-1标MK0+000~MK2+380.418）</t>
  </si>
  <si>
    <t>细目号</t>
  </si>
  <si>
    <t>细目名称</t>
  </si>
  <si>
    <t>单位</t>
  </si>
  <si>
    <t>暂定工程量</t>
  </si>
  <si>
    <t>单价（元）</t>
  </si>
  <si>
    <t>合价</t>
  </si>
  <si>
    <t>主要工作内容</t>
  </si>
  <si>
    <t>计量规则</t>
  </si>
  <si>
    <t>备注</t>
  </si>
  <si>
    <t>一</t>
  </si>
  <si>
    <t>安全生产费</t>
  </si>
  <si>
    <t>项</t>
  </si>
  <si>
    <t xml:space="preserve">    作业人员安全帽、反光衣、人身保险费，施工现场安全围挡、安全标识标牌、安全锥等安全设施设置、维护及转场，洒水降尘，安全锥、限速牌、导向牌、警示牌、爆闪灯按甲方要求购置，施工路段交通指挥、疏导（乙方必须配备至少1名以上安全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</si>
  <si>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</si>
  <si>
    <t>201-1</t>
  </si>
  <si>
    <t>清理与掘除</t>
  </si>
  <si>
    <t xml:space="preserve">   -a</t>
  </si>
  <si>
    <t>清理现场</t>
  </si>
  <si>
    <t>m3</t>
  </si>
  <si>
    <t>红线沟开挖及红线桩的埋设，路基排水、灌木、竹林、树木的砍伐及挖根（直径10cm以内）；按设计图纸清除场地表面范围内的垃圾、废料、土（腐殖土）、石头、草皮；清除房屋门口砼路面（切割机切割边线）；与清理现场有关的一切挖运、坑穴的回填、整平、压实；适用材料的装卸移运堆放及非适用材料的移运堆放；现场清理等所有与清除表土、素填土、杂填土有关的工作内容。</t>
  </si>
  <si>
    <t xml:space="preserve">   -b</t>
  </si>
  <si>
    <t>回填土</t>
  </si>
  <si>
    <r>
      <rPr>
        <sz val="9.5"/>
        <color indexed="8"/>
        <rFont val="Arial Narrow"/>
        <family val="2"/>
      </rP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9.5"/>
        <color indexed="8"/>
        <rFont val="Arial Narrow"/>
        <family val="2"/>
      </rPr>
      <t xml:space="preserve"> </t>
    </r>
    <r>
      <rPr>
        <sz val="9.5"/>
        <color indexed="8"/>
        <rFont val="宋体"/>
        <family val="3"/>
        <charset val="134"/>
      </rPr>
      <t>基底翻松、压实、挖台阶；</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内、卸车；分层摊铺；洒水、压实、刷坡、路基补强；施工排水处理；借土场整型等所有与借土填方有关的工作内容。</t>
    </r>
  </si>
  <si>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预留路基宽度超宽填的填方量及地面下沉增加的填方量、路基补强所需费用（含大型冲击锤补强，或者采用强夯机夯实发生的费用）、安全防护措施等作为路基填筑的附属工作，不另行计量；边沟、排水沟、截水沟、排水工程开挖土方、取土场清表、砍挖树木等费用已含在综合单价中，不另行计量。；运输1km内已含在综合单价中，每超过500m运距综合单价增加费用0.7元/m3。当甲方发现填方路基完工后沉降可以随时要求乙方配备26t以上压路机，或者采用强夯机夯实，发生的费用由乙方承担。</t>
  </si>
  <si>
    <t>203-1</t>
  </si>
  <si>
    <t>路基挖方</t>
  </si>
  <si>
    <t>挖土方</t>
  </si>
  <si>
    <t>低填浅挖、半填半挖、填挖交界、陡坡地段、新旧路衔接等特殊路基台阶设置；便道、便涵填筑及维护、施工便道及施工区洒水抑尘；挖、装、运输、卸车；填料分理、弃土整型、压实；.施工排水处理；.边坡整修、路床顶面以下挖松深 300mm 再压实、路床清理、交工验收等所有与挖土方有关的工作内容。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</si>
  <si>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 台阶开挖、施工便道及施工区洒水抑尘、路床顶面以下挖松深300mm 再压实、安全防护措施等作为挖土方的附属工作，不另行计量；边沟、排水沟、截水沟、排水工程等开挖土方费用已含在综合单价中，不另行计量。
</t>
  </si>
  <si>
    <t>挖石方</t>
  </si>
  <si>
    <t>挖软石</t>
  </si>
  <si>
    <r>
      <rPr>
        <sz val="9.5"/>
        <rFont val="Arial Narrow"/>
        <family val="2"/>
      </rPr>
      <t xml:space="preserve">      </t>
    </r>
    <r>
      <rPr>
        <sz val="9.5"/>
        <rFont val="宋体"/>
        <family val="3"/>
        <charset val="134"/>
      </rPr>
      <t>低填浅挖、半填半挖、填挖交界、陡坡地段、新旧路衔接等特殊路基台阶设置；便道、便涵填筑及维护、施工便道及施工区洒水抑尘；石方爆破、清理工作面（含解小至符合填筑要求）；挖、装、运输、卸车；填料分理、弃土整型、压实；</t>
    </r>
    <r>
      <rPr>
        <sz val="9.5"/>
        <rFont val="Arial Narrow"/>
        <family val="2"/>
      </rPr>
      <t>.</t>
    </r>
    <r>
      <rPr>
        <sz val="9.5"/>
        <rFont val="宋体"/>
        <family val="3"/>
        <charset val="134"/>
      </rPr>
      <t>施工排水处理；边坡整修、路床顶面凿平或石渣填平压实、路床清理等、交工所有与挖石方有关的工作内容。</t>
    </r>
  </si>
  <si>
    <r>
      <rPr>
        <sz val="9.5"/>
        <color rgb="FF000000"/>
        <rFont val="Arial Narrow"/>
        <family val="2"/>
      </rPr>
      <t xml:space="preserve">        </t>
    </r>
    <r>
      <rPr>
        <sz val="9.5"/>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9.5"/>
        <color rgb="FF000000"/>
        <rFont val="Arial Narrow"/>
        <family val="2"/>
      </rPr>
      <t xml:space="preserve"> </t>
    </r>
    <r>
      <rPr>
        <sz val="9.5"/>
        <color rgb="FF000000"/>
        <rFont val="宋体"/>
        <family val="3"/>
        <charset val="134"/>
      </rPr>
      <t xml:space="preserve">台阶开挖、边沟、排水沟、截水沟、临时排水工程等开挖石方费用已含在综合单价中，不另行计量；爆破手续及安全手续的办理、爆破耗材、安全防护设施、安全人员等所需费用已含在综合单价中，不另行计量；如乙方采用非爆破方法开挖，计量按综合单价执行，不予调整。
</t>
    </r>
  </si>
  <si>
    <t>挖次坚石/坚石</t>
  </si>
  <si>
    <t>-c</t>
  </si>
  <si>
    <t>挖除非适用性材料（不含淤泥）</t>
  </si>
  <si>
    <t>低填浅挖、填挖交界处理、</t>
  </si>
  <si>
    <t xml:space="preserve"> 依据图纸所示位置并经现场实际验收合格，挖除平交道范围内按双方核定的设计（含变更设计）内的数量以立方米为单位计量；路基范围以外临时工程用地、场地清理、取、弃土场等清除表土费用、弃土整平费用已含在综合单价中，不另行计量。计量时须提供现场测量、签认的映像资料。弃土运距已考虑综合里程，费用包含在综合单价中，施工中不因弃土运距的远近进行调价。</t>
  </si>
  <si>
    <t xml:space="preserve">   -d</t>
  </si>
  <si>
    <t>挖除淤泥</t>
  </si>
  <si>
    <t>施工排水处理；挖除、装载、运输至弃土场、卸车、统一堆放至弃土场整形；现场清理等所有与清除淤泥有关的工作内容。（淤泥指水塘、软土地基）</t>
  </si>
  <si>
    <t>依据图纸所示位置并经现场实际验收合格，挖除路基范围内淤泥按双方核定的设计（含变更设计）内的数量以立方米为单位计量；路基范围以外临时工程用地、场地清理、取、弃土场等清除表土费用及弃土整平费用、安全防护措施等已含在综合单价中，不另行计量。计量时须提供现场测量、签认的映像资料。弃土运距已考虑综合里程，费用包含在综合单价中，施工中不因弃土运距的远近进行调价。</t>
  </si>
  <si>
    <t>204-1</t>
  </si>
  <si>
    <t>路基填筑（包括填前压实）</t>
  </si>
  <si>
    <t>利用土方</t>
  </si>
  <si>
    <r>
      <rPr>
        <sz val="9.5"/>
        <color indexed="8"/>
        <rFont val="宋体"/>
        <family val="3"/>
        <charset val="134"/>
      </rPr>
      <t>填浅挖、半填半挖、陡坡地段、填挖交界、新旧路衔接等特殊路基台阶设置；便道、便涵填筑及维护、施工便道及施工区洒水抑尘；基底翻松、压实、挖台阶；</t>
    </r>
    <r>
      <rPr>
        <sz val="9.5"/>
        <color indexed="8"/>
        <rFont val="Arial Narrow"/>
        <family val="2"/>
      </rPr>
      <t>.</t>
    </r>
    <r>
      <rPr>
        <sz val="9.5"/>
        <color indexed="8"/>
        <rFont val="宋体"/>
        <family val="3"/>
        <charset val="134"/>
      </rPr>
      <t>临时排水、</t>
    </r>
    <r>
      <rPr>
        <sz val="9.5"/>
        <color indexed="8"/>
        <rFont val="Arial Narrow"/>
        <family val="2"/>
      </rPr>
      <t xml:space="preserve"> </t>
    </r>
    <r>
      <rPr>
        <sz val="9.5"/>
        <color indexed="8"/>
        <rFont val="宋体"/>
        <family val="3"/>
        <charset val="134"/>
      </rPr>
      <t>翻晒；机械整平、分层摊铺；洒水、压实（含小型机具夯实）、刷坡、路基补强；修整边坡、路床整型、路床交验等所有与填方有关的工作内容。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</si>
  <si>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施工区洒水抑尘、台背回填及地面下沉增加的填方量、路基补强所需费用（含大型冲击锤补强，或者采用强夯机夯实发生的费用）、安全防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</si>
  <si>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 xml:space="preserve">   -c</t>
  </si>
  <si>
    <t>利用石方</t>
  </si>
  <si>
    <r>
      <rPr>
        <sz val="9.5"/>
        <color rgb="FF000000"/>
        <rFont val="Times New Roman"/>
        <family val="1"/>
      </rPr>
      <t xml:space="preserve">       </t>
    </r>
    <r>
      <rPr>
        <sz val="9.5"/>
        <color indexed="8"/>
        <rFont val="宋体"/>
        <family val="3"/>
        <charset val="134"/>
      </rPr>
      <t>低填浅挖、半填半挖、陡坡地段、填挖交界、新旧路衔接等特殊路基台阶设置；便道、便涵填筑及维护、施工便道及施工区洒水抑尘；基底翻松、压实，挖台阶；临时排水、</t>
    </r>
    <r>
      <rPr>
        <sz val="9.5"/>
        <color indexed="8"/>
        <rFont val="Times New Roman"/>
        <family val="1"/>
      </rPr>
      <t xml:space="preserve"> </t>
    </r>
    <r>
      <rPr>
        <sz val="9.5"/>
        <color indexed="8"/>
        <rFont val="宋体"/>
        <family val="3"/>
        <charset val="134"/>
      </rPr>
      <t>翻晒；边坡码砌；机械整平、分层摊铺；小石块（或石屑）填缝、找补；洒水、压实（含小型机具夯实）、路基补强；修整边坡、路床整型、路床交验等所有与填方有关的工作内容。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</si>
  <si>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涵填筑及维护、施工便道及施工区洒水抑尘、台背回填及地面下沉增加的填方量、路基补强所需费用（含大型冲击锤补强，或者采用强夯机夯实发生的费用）、安全防护措施等作为路基填筑的附属工作，费用已含在综合单价中，不另行计量。特别说明：乙方必须严格按照施工规范施工，确保路基压实度符合要求，当甲方发现填方路基完工后沉降可以随时要求乙方配备26t以上压路机进行补压，或者采用强夯机夯实，发生的费用由乙方承担。</t>
  </si>
  <si>
    <t xml:space="preserve">   -e</t>
  </si>
  <si>
    <t>借土填方</t>
  </si>
  <si>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临时排水、取土场清表、砍挖树木等费用已含在综合单价中，不另行计量。运输1km内已含在综合单价中，每超过500m运距综合单价增加费用0.70元/m3。特别说明：为确保路基压实度符合要求，当甲方发现填方路基完工后沉降可以随时要求乙方配备大型冲击锤补强，或者采用强夯机夯实，发生的费用由乙方承担。</t>
  </si>
  <si>
    <t xml:space="preserve">   -f</t>
  </si>
  <si>
    <t>借石填方（软石）</t>
  </si>
  <si>
    <r>
      <rPr>
        <sz val="9.5"/>
        <color indexed="8"/>
        <rFont val="Arial Narrow"/>
        <family val="2"/>
      </rP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低填浅挖处理、填挖交界处理、半填半挖处理、挖台阶处理、陡坡路堤处理、新旧路衔接等特殊路基台阶设置；取土场便道、便涵填筑及维护、施工便道及施工区洒水抑尘；借石场场地清理、清除不适用材料；</t>
    </r>
    <r>
      <rPr>
        <sz val="9.5"/>
        <color indexed="8"/>
        <rFont val="Arial Narrow"/>
        <family val="2"/>
      </rPr>
      <t xml:space="preserve"> </t>
    </r>
    <r>
      <rPr>
        <sz val="9.5"/>
        <color indexed="8"/>
        <rFont val="宋体"/>
        <family val="3"/>
        <charset val="134"/>
      </rPr>
      <t>基底翻松、压实、挖台阶；爆破、</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内、卸车；分层摊铺；洒水、压实、刷坡、路基补强；施工排水处理；借土场整型等所有与借土、石填方有关的工作内容。</t>
    </r>
  </si>
  <si>
    <r>
      <rPr>
        <sz val="9.5"/>
        <color indexed="8"/>
        <rFont val="宋体"/>
        <family val="3"/>
        <charset val="134"/>
      </rPr>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涵洞等排水、涵洞工程开挖土方、取土场清表、砍挖树木等费用已含在综合单价中，不另行计量。运输1km内已含在综合单价中，每超过500m运距综合单价增加费用0.70元/m3。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9.5"/>
        <color indexed="8"/>
        <rFont val="宋体"/>
        <family val="3"/>
        <charset val="134"/>
      </rPr>
      <t xml:space="preserve">    </t>
    </r>
    <r>
      <rPr>
        <sz val="9.5"/>
        <color indexed="8"/>
        <rFont val="宋体"/>
        <family val="3"/>
        <charset val="134"/>
      </rPr>
      <t>元/m3。）</t>
    </r>
  </si>
  <si>
    <t>-e</t>
  </si>
  <si>
    <t>回填粒料（粒径不大于5cm，水稳性好的粒料）</t>
  </si>
  <si>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排水工程等开挖土方、取土场清表、砍挖树木等费用已含在综合单价中，不另行计量。</t>
  </si>
  <si>
    <t>-i</t>
  </si>
  <si>
    <t>锥坡及台前溜坡填土</t>
  </si>
  <si>
    <t xml:space="preserve">   -g</t>
  </si>
  <si>
    <t>结构物台背回填</t>
  </si>
  <si>
    <t xml:space="preserve">  -2</t>
  </si>
  <si>
    <t>回填砂砾</t>
  </si>
  <si>
    <t>含材料采购、运输；基底翻松、压实、挖台阶；临时排水；分层摊铺整形；洒水、压实（含小型夯实机夯实）；修整边坡等所有与回填有关的工作内容。</t>
  </si>
  <si>
    <t xml:space="preserve"> 依据图纸所示位置和断面尺寸并经现场实际验收合格，按图示换材料密实体积按双方核定的设计（含变更设计）内的数量以立方米为单位计量；计量时须提供现场测量、签认的映像资料。安全防护设施等费用已含在综合单价中，不另行计量。</t>
  </si>
  <si>
    <t>204-2</t>
  </si>
  <si>
    <t>围堰（含抽水挖除弃运）</t>
  </si>
  <si>
    <t>m</t>
  </si>
  <si>
    <t>含麻布袋人工装土、装载机运输、抽水、人工整理填土袋、缝隙填充、挖除清理、弃至甲方指定的弃土场等一切工作内容。</t>
  </si>
  <si>
    <t>按甲方技术交底图示尺寸并经现场验收合格的工程量计算。</t>
  </si>
  <si>
    <t>205-1</t>
  </si>
  <si>
    <t>软土地基处理</t>
  </si>
  <si>
    <t>-b</t>
  </si>
  <si>
    <t>回填砾石砂</t>
  </si>
  <si>
    <t>含便道修筑及维护、基底清理、填前压实；临时排水、混合料采购、分层铺筑、分层碾压、修整边坡等所有与换填有关的工作内容。含外购材料30元/m³混渣</t>
  </si>
  <si>
    <t>依据图纸所示位置和断面尺寸并经现场实际验收合格，按图示换填砂砾材料密实体积按双方核定的设计（含变更设计）内的数量以立方米为单位计量；计量时须提供现场测量、签认的映像资料。除砂砾材料由甲方提供外，其余所有材料、设备及便道填筑及维护、等均由乙方提供及实施，费用已含在综合单价中，不另行计量。</t>
  </si>
  <si>
    <t>-C</t>
  </si>
  <si>
    <t>回填宕渣或碎石土</t>
  </si>
  <si>
    <t>含便道修筑及维护、基底清理、填前压实；临时排水、混合料收集及采购分层铺筑、分层碾压、修整边坡等所有与换填有关的工作内容。含外购材料30元/m³混渣</t>
  </si>
  <si>
    <t>-d</t>
  </si>
  <si>
    <t>土工织物</t>
  </si>
  <si>
    <t>-1</t>
  </si>
  <si>
    <t>土工格栅</t>
  </si>
  <si>
    <t>m2</t>
  </si>
  <si>
    <r>
      <rPr>
        <sz val="9.5"/>
        <color indexed="8"/>
        <rFont val="Arial Narrow"/>
        <family val="2"/>
      </rPr>
      <t xml:space="preserve">        </t>
    </r>
    <r>
      <rPr>
        <sz val="9.5"/>
        <color indexed="8"/>
        <rFont val="宋体"/>
        <family val="3"/>
        <charset val="134"/>
      </rPr>
      <t>清理下承层；场内运输、装卸、铺设及固定；接缝处理（搭接、缝接、</t>
    </r>
    <r>
      <rPr>
        <sz val="9.5"/>
        <color indexed="8"/>
        <rFont val="Arial Narrow"/>
        <family val="2"/>
      </rPr>
      <t xml:space="preserve"> </t>
    </r>
    <r>
      <rPr>
        <sz val="9.5"/>
        <color indexed="8"/>
        <rFont val="宋体"/>
        <family val="3"/>
        <charset val="134"/>
      </rPr>
      <t>粘接）；边缘处理等所有与土工格栅有关的工作内容。</t>
    </r>
  </si>
  <si>
    <r>
      <rPr>
        <sz val="9.5"/>
        <color indexed="8"/>
        <rFont val="Arial Narrow"/>
        <family val="2"/>
      </rPr>
      <t xml:space="preserve">         </t>
    </r>
    <r>
      <rPr>
        <sz val="9.5"/>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等费用已含在综合单价中，不另行计量。</t>
    </r>
  </si>
  <si>
    <t>回填开山石渣（利用石方）</t>
  </si>
  <si>
    <t>取土石场、挖方段石渣收集、运输、分层铺筑；分层碾压，修整边坡等所有与回填石渣有关的工作内容。</t>
  </si>
  <si>
    <t xml:space="preserve"> 依据图纸所示位置和断面尺寸并经现场实际验收合格，按图示换填石渣材料密实体积按双方核定的设计（含变更设计）内的数量以立方米为单位计量；计量时须提供现场测量、签认的映像资料。安全防护设施等费用已含在综合单价中，不另行计量。</t>
  </si>
  <si>
    <t>207-2</t>
  </si>
  <si>
    <t>排水沟</t>
  </si>
  <si>
    <t>60*60cmM7.5浆砌片石排水沟</t>
  </si>
  <si>
    <t>含场地清理、地基夯实、断面开挖、铺设垫层、砂浆拌制、浆砌片石、勾缝、抹面、养护 、回填等等所有与浆砌片石有关的工作内容。</t>
  </si>
  <si>
    <t>依据图纸所示位置及断面尺寸、按浆砌片石施工长度（每延米长度）并经现场实际验收合格的数量以每延米为单位进行计量。所有材料、设备（含发电机、搅拌机及施工用电设施等）及便道填筑及维护、土方开挖、安全防护设施等均由乙方提供及实施，费用已含在综合单价中，不另行计量。（砂砾垫层已经考虑在综合单价内，不另行计量）</t>
  </si>
  <si>
    <t>-a</t>
  </si>
  <si>
    <t>截水沟（含截水沟下坡汇水段及防滑平台）</t>
  </si>
  <si>
    <t>m³</t>
  </si>
  <si>
    <t>依据图纸所示位置和浆砌厚度、高度、长度乘积的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</si>
  <si>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平台沟急流槽（含进出口及槽身）</t>
  </si>
  <si>
    <t xml:space="preserve">   -C</t>
  </si>
  <si>
    <t>C25砼盖板明边沟</t>
  </si>
  <si>
    <t>含场地清理、地基夯实、断面补挖、铺设垫层、砂浆拌制、浆砌片石、勾缝、抹面、现浇砼台帽 、预制砼盖板、安装盖板、回填等所有与盖板沟有关的工作内容。</t>
  </si>
  <si>
    <t>依据图纸所示位置及断面尺寸、按砼盖板施工长度（每延米长度）并经现场实际验收合格的数量以每延米为单位进行计量。所有材料、设备（含发电机、搅拌机及施工用电设施等）及便道填筑及维护、土方开挖等均由乙方提供及实施，费用已含在综合单价中，不另行计量。砂砾垫层已经考虑在综合单价内，不另行计量。</t>
  </si>
  <si>
    <t>207-5</t>
  </si>
  <si>
    <t>碎石渗沟</t>
  </si>
  <si>
    <t>含沟底开挖、修整、土工布包裹、回填碎石、覆盖、碾压、回填等所有费用</t>
  </si>
  <si>
    <t>208</t>
  </si>
  <si>
    <t>护坡、护面墙</t>
  </si>
  <si>
    <t>208-3</t>
  </si>
  <si>
    <t>浆砌片石护坡</t>
  </si>
  <si>
    <t>208-3-a</t>
  </si>
  <si>
    <t>水泥砂浆护坡垫层</t>
  </si>
  <si>
    <t>含边坡清理、排水、基底清理；分层铺筑等所有与护坡回填砂浆有关的工作内容。</t>
  </si>
  <si>
    <t>依据图纸所示位置及断面尺寸，并经现场实际验收合格按双方核定的设计（含变更设计）内的数量以立方米为单位计量；所有材料、设备及便道填筑及维护、等均由乙方提供及实施，费用已含在综合单价中，不另行计量。</t>
  </si>
  <si>
    <t>208-3-b</t>
  </si>
  <si>
    <t>含坡面精细整形、拌合砂浆、片石砌筑、勾缝、抹面、养生、剩余片石及施工垃圾清理等与之有关的一切工作内容</t>
  </si>
  <si>
    <t>依据图纸所示位置和尺寸并经现场验收合格按双方核定的设计（含变更设计）内的数量以立方米为单位计量；坡面的补土及整型均已含在综合单价中，不另行计量。</t>
  </si>
  <si>
    <t>208-2</t>
  </si>
  <si>
    <t>方格网护坡</t>
  </si>
  <si>
    <t>M7.5浆砌片石</t>
  </si>
  <si>
    <t>含清理边坡，坡面夯实，基础开挖，片石开挖、解小、运输、砂浆拌制、浆砌片石，抹面，养护，回填，清理现场、因施工造成的边坡修复等所有与浆砌片石有关的工作内容。</t>
  </si>
  <si>
    <t>依据图纸所示位置和铺砌厚度、骨架形式，按照护坡体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</si>
  <si>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干砌片石</t>
  </si>
  <si>
    <t>含清理边坡，坡面夯实，基础开挖，片石开挖、解小、运输、干砌片石，抹面，养护，回填，清理现场、因施工造成的边坡修复等所有与干砌片石有关的工作内容。</t>
  </si>
  <si>
    <t>依据图纸所示位置和铺砌厚度、骨架形式，按照护坡体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</si>
  <si>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209-3</t>
  </si>
  <si>
    <t>砌体挡土墙</t>
  </si>
  <si>
    <t>含清理边坡，坡面夯实，基础开挖，片石开挖、解小、运输、砂浆拌制、浆砌片石，抹面，养护，回填，清理现场、因施工造成的边坡修复等所有与浆砌片石挡墙有关的工作内容。</t>
  </si>
  <si>
    <t>419-1</t>
  </si>
  <si>
    <t>单孔钢筋砼圆管涵</t>
  </si>
  <si>
    <t>圆管涵</t>
  </si>
  <si>
    <t>a-1</t>
  </si>
  <si>
    <t>挖基础</t>
  </si>
  <si>
    <r>
      <rPr>
        <sz val="9.5"/>
        <color theme="1"/>
        <rFont val="宋体"/>
        <family val="3"/>
        <charset val="134"/>
      </rPr>
      <t xml:space="preserve">   </t>
    </r>
    <r>
      <rPr>
        <sz val="9.5"/>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</si>
  <si>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9.5"/>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9.5"/>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</si>
  <si>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t>a-2</t>
  </si>
  <si>
    <t>Φ1.5m管节安装</t>
  </si>
  <si>
    <t>场地清理；圆管卸车；安装、接缝；防水、防冻、防腐措施等所有与管节安装有关的工作内容。</t>
  </si>
  <si>
    <t xml:space="preserve">    依据图纸所示位置及断面尺寸，并经现场实际验收合格按双方核定的设计（含变更设计）内的数量以米为单位计量；除圆管管节由甲方提供外，其余所有材料、设备（含吊车、挖机、油毛毡、沥青麻絮等）、安全防护设施等均由乙方提供及实施，费用（含圆管卸车费用；二次调拨、搬运）已含在综合单价中，不另行计量。</t>
  </si>
  <si>
    <t>a-3</t>
  </si>
  <si>
    <t>管基、竖井砂砾垫层</t>
  </si>
  <si>
    <t xml:space="preserve">    依据图纸所示位置及断面尺寸，并经现场实际验收合格按双方核定的设计（含变更设计）内的数量以立方米为单位计量；除砂砾由甲方提供外，所有材料、设备及便道填筑及维护、安全防护设施等均由乙方提供及实施，费用已含在综合单价中，不另行计量。</t>
  </si>
  <si>
    <t>a-4</t>
  </si>
  <si>
    <t>砂砾换填</t>
  </si>
  <si>
    <r>
      <rPr>
        <sz val="9.5"/>
        <color indexed="8"/>
        <rFont val="Times New Roman"/>
        <family val="1"/>
      </rPr>
      <t xml:space="preserve">       </t>
    </r>
    <r>
      <rPr>
        <sz val="9.5"/>
        <color indexed="8"/>
        <rFont val="宋体"/>
        <family val="3"/>
        <charset val="134"/>
      </rPr>
      <t>便道填筑及维护、挖基、基坑排水、基底清理；材料收集或采购、运输、铺筑、碾压等所有与换填有关的工作内容。</t>
    </r>
  </si>
  <si>
    <t xml:space="preserve">    依据图纸所示位置及断面尺寸，并经现场实际验收合格按双方核定的设计（含变更设计）内的数量以立方米为单位计量；所有材料、设备及便道填筑及维护、安全防护设施等均由乙方提供及实施，费用已含在综合单价中，不另行计量。</t>
  </si>
  <si>
    <t>a-5</t>
  </si>
  <si>
    <r>
      <rPr>
        <sz val="10"/>
        <color rgb="FF000000"/>
        <rFont val="Arial Narrow"/>
        <family val="2"/>
      </rPr>
      <t>C25</t>
    </r>
    <r>
      <rPr>
        <sz val="10"/>
        <color rgb="FF000000"/>
        <rFont val="宋体"/>
        <family val="3"/>
        <charset val="134"/>
      </rPr>
      <t>砼管基、端墙基础</t>
    </r>
  </si>
  <si>
    <t xml:space="preserve">   场地清理；围堰、排水，基坑支护；基础模板制作、安装、拆除；混凝土浇筑、养护；施工缝、沉降缝设置、处理等所有与砼基础有关的工作内容。</t>
  </si>
  <si>
    <t xml:space="preserve">    依据图纸所示位置及断面尺寸，并经现场实际验收合格按双方核定的设计（含变更设计）内的数量以立方米为单位计量；除砼由甲方提供外，其余所有材料、设备（含吊车、挖机、天泵、地泵、发电机及施工用电设施等）、安全防护等均由乙方提供及实施，费用已含在综合单价中，不另行计量。</t>
  </si>
  <si>
    <t>a-6</t>
  </si>
  <si>
    <r>
      <rPr>
        <sz val="10"/>
        <color rgb="FF000000"/>
        <rFont val="Arial Narrow"/>
        <family val="2"/>
      </rPr>
      <t>C30</t>
    </r>
    <r>
      <rPr>
        <sz val="10"/>
        <color rgb="FF000000"/>
        <rFont val="宋体"/>
        <family val="3"/>
        <charset val="134"/>
      </rPr>
      <t>墙身砼</t>
    </r>
  </si>
  <si>
    <t xml:space="preserve">   场地清理；排水；墙身模板制作、安装、拆除；混凝土浇筑、养护；施工缝、沉降缝设置、处理等所有与端墙墙身有关的工作内容。</t>
  </si>
  <si>
    <t xml:space="preserve">    依据图纸所示位置及断面尺寸，并经现场实际验收合格按双方核定的设计（含变更设计）内的数量以立方米为单位计量；除砼由甲方提供外，其余所有材料（含沥青麻絮等）、设备（含吊车、挖机、天泵、地泵、发电机及施工用电设施等）、安全防护等均由乙方提供及实施，费用已含在综合单价中，不另行计量。</t>
  </si>
  <si>
    <t>a-7</t>
  </si>
  <si>
    <r>
      <rPr>
        <sz val="10"/>
        <color rgb="FF000000"/>
        <rFont val="Arial Narrow"/>
        <family val="2"/>
      </rPr>
      <t>C25</t>
    </r>
    <r>
      <rPr>
        <sz val="10"/>
        <color rgb="FF000000"/>
        <rFont val="宋体"/>
        <family val="3"/>
        <charset val="134"/>
      </rPr>
      <t>片石砼</t>
    </r>
  </si>
  <si>
    <t xml:space="preserve">  场地清理；排水；模板制作、安装、拆除；混凝土浇筑、养护；施工缝、沉降缝设置、处理等所有与砼管基有关的工作内容。</t>
  </si>
  <si>
    <t xml:space="preserve">    依据图纸所示位置及断面尺寸，并经现场实际验收合格按双方核定的设计（含变更设计）内的数量以立方米为单位计量；除砼由甲方提供外，其余所有材料（含片石30%等）、设备（含吊车、挖机、天泵、地泵、发电机及施工用电设施等）等均由乙方提供及实施，费用已含在综合单价中，不另行计量。</t>
  </si>
  <si>
    <t>a-8</t>
  </si>
  <si>
    <t>钢筋</t>
  </si>
  <si>
    <t>kg</t>
  </si>
  <si>
    <t xml:space="preserve">    场地清理、场地硬化；钢筋的保护、储存及除锈；钢筋整直、接头；钢筋截断、弯曲、焊接；钢筋安设、支承及固定等所有与钢筋有关的工作内容。</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</si>
  <si>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等均由乙方提供及实施，费用已含在综合单价中，不另行计量。（注：钢筋损耗按设计图纸数量加1.5%损耗控制，如超过控制数量，超过部份按市价在乙方工程款中扣除。）</t>
  </si>
  <si>
    <t>a-9</t>
  </si>
  <si>
    <r>
      <rPr>
        <sz val="10"/>
        <color rgb="FF000000"/>
        <rFont val="Arial Narrow"/>
        <family val="2"/>
      </rPr>
      <t>C25</t>
    </r>
    <r>
      <rPr>
        <sz val="10"/>
        <color rgb="FF000000"/>
        <rFont val="宋体"/>
        <family val="3"/>
        <charset val="134"/>
      </rPr>
      <t>砼帽石</t>
    </r>
  </si>
  <si>
    <t xml:space="preserve">   场地清理；帽石模板制作、安装、拆除；混凝土浇筑、养护；施工缝设置、处理等所有与砼帽石有关的工作内容。</t>
  </si>
  <si>
    <t>420-1-1</t>
  </si>
  <si>
    <t>钢筋砼盖板涵、箱涵</t>
  </si>
  <si>
    <t>开挖基坑土石方</t>
  </si>
  <si>
    <r>
      <rPr>
        <sz val="9.5"/>
        <color rgb="FF000000"/>
        <rFont val="Times New Roman"/>
        <family val="1"/>
      </rPr>
      <t xml:space="preserve">       </t>
    </r>
    <r>
      <rPr>
        <sz val="9.5"/>
        <color rgb="FF000000"/>
        <rFont val="宋体"/>
        <family val="3"/>
        <charset val="134"/>
      </rPr>
      <t>便道填筑及维护、挖基、基坑排水、基底清理；材料采购、运输、铺筑、碾压等所有与换填有关的工作内容。</t>
    </r>
  </si>
  <si>
    <r>
      <rPr>
        <sz val="10"/>
        <color rgb="FF000000"/>
        <rFont val="Arial Narrow"/>
        <family val="2"/>
      </rPr>
      <t>C25</t>
    </r>
    <r>
      <rPr>
        <sz val="10"/>
        <color rgb="FF000000"/>
        <rFont val="宋体"/>
        <family val="3"/>
        <charset val="134"/>
      </rPr>
      <t>砼基础</t>
    </r>
  </si>
  <si>
    <r>
      <rPr>
        <sz val="10"/>
        <color rgb="FF000000"/>
        <rFont val="Arial Narrow"/>
        <family val="2"/>
      </rPr>
      <t>C40</t>
    </r>
    <r>
      <rPr>
        <sz val="10"/>
        <color rgb="FF000000"/>
        <rFont val="宋体"/>
        <family val="3"/>
        <charset val="134"/>
      </rPr>
      <t>墙身及盖板砼</t>
    </r>
  </si>
  <si>
    <t>425-1</t>
  </si>
  <si>
    <t>雨污水管道</t>
  </si>
  <si>
    <t>雨污水管</t>
  </si>
  <si>
    <r>
      <rPr>
        <sz val="9.5"/>
        <color theme="1"/>
        <rFont val="宋体"/>
        <family val="3"/>
        <charset val="134"/>
      </rPr>
      <t xml:space="preserve">   </t>
    </r>
    <r>
      <rPr>
        <sz val="9.5"/>
        <color rgb="FF000000"/>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综合的单价含回填管道、集水井回填单价）</t>
    </r>
  </si>
  <si>
    <r>
      <rPr>
        <sz val="9.5"/>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9.5"/>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</si>
  <si>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rgb="FF000000"/>
        <rFont val="Arial Narrow"/>
        <family val="2"/>
      </rPr>
      <t>Φ1.0m</t>
    </r>
    <r>
      <rPr>
        <sz val="10"/>
        <color rgb="FF000000"/>
        <rFont val="宋体"/>
        <family val="3"/>
        <charset val="134"/>
      </rPr>
      <t>市政二级管道安装</t>
    </r>
  </si>
  <si>
    <r>
      <rPr>
        <sz val="10"/>
        <color rgb="FF000000"/>
        <rFont val="Arial Narrow"/>
        <family val="2"/>
      </rPr>
      <t>Φ0.8m</t>
    </r>
    <r>
      <rPr>
        <sz val="10"/>
        <color rgb="FF000000"/>
        <rFont val="宋体"/>
        <family val="3"/>
        <charset val="134"/>
      </rPr>
      <t>市政二级管道安装</t>
    </r>
  </si>
  <si>
    <r>
      <rPr>
        <sz val="10"/>
        <color rgb="FF000000"/>
        <rFont val="Arial Narrow"/>
        <family val="2"/>
      </rPr>
      <t>DN60cmHDPE</t>
    </r>
    <r>
      <rPr>
        <sz val="10"/>
        <color rgb="FF000000"/>
        <rFont val="宋体"/>
        <family val="3"/>
        <charset val="134"/>
      </rPr>
      <t>管节安装</t>
    </r>
  </si>
  <si>
    <t>场地清理；HDPE管材采购、卸车、保管、安装、接缝；防水、试压等所有与管节安装有关的工作内容。</t>
  </si>
  <si>
    <t xml:space="preserve">    依据图纸所示位置及断面尺寸，并经现场实际验收合格按双方核定的设计（含变更设计）内的数量以米为单位计量；所有关于HDPE管道材料（管材、接头、橡皮圈、胶水等）、设备、安全防护设施等均由乙方提供及实施，费用已含在综合单价中，不另行计量。</t>
  </si>
  <si>
    <r>
      <rPr>
        <sz val="10"/>
        <color rgb="FF000000"/>
        <rFont val="Arial Narrow"/>
        <family val="2"/>
      </rPr>
      <t>DN40cmHDPE</t>
    </r>
    <r>
      <rPr>
        <sz val="10"/>
        <color rgb="FF000000"/>
        <rFont val="宋体"/>
        <family val="3"/>
        <charset val="134"/>
      </rPr>
      <t>管节安装</t>
    </r>
  </si>
  <si>
    <r>
      <rPr>
        <sz val="10"/>
        <color rgb="FF000000"/>
        <rFont val="Arial Narrow"/>
        <family val="2"/>
      </rPr>
      <t>DN50cm</t>
    </r>
    <r>
      <rPr>
        <sz val="10"/>
        <color rgb="FF000000"/>
        <rFont val="宋体"/>
        <family val="3"/>
        <charset val="134"/>
      </rPr>
      <t>HDPE管节安装</t>
    </r>
  </si>
  <si>
    <r>
      <rPr>
        <sz val="10"/>
        <color rgb="FF000000"/>
        <rFont val="Arial Narrow"/>
        <family val="2"/>
      </rPr>
      <t>DN30cmHDPE</t>
    </r>
    <r>
      <rPr>
        <sz val="10"/>
        <color rgb="FF000000"/>
        <rFont val="宋体"/>
        <family val="3"/>
        <charset val="134"/>
      </rPr>
      <t>管节安装</t>
    </r>
  </si>
  <si>
    <t>管基、竖井回填中粗砂</t>
  </si>
  <si>
    <r>
      <rPr>
        <sz val="9.5"/>
        <color rgb="FF000000"/>
        <rFont val="Times New Roman"/>
        <family val="1"/>
      </rPr>
      <t xml:space="preserve">       </t>
    </r>
    <r>
      <rPr>
        <sz val="9.5"/>
        <color rgb="FF000000"/>
        <rFont val="宋体"/>
        <family val="3"/>
        <charset val="134"/>
      </rPr>
      <t>便道填筑及维护、挖基、基坑排水、基底清理；材料采购、运输、铺筑、碾压等所有与垫层有关的工作内容。</t>
    </r>
  </si>
  <si>
    <t xml:space="preserve">    依据图纸所示位置及断面尺寸，并经现场实际验收合格按双方核定的设计（含变更设计）内的数量以立方米为单位计量；所有材料、设备及便道填筑及维护、安全防护设施等均由乙方提供及实施，费用已含在综合单价中，不另行计量。（含砂砾采购）</t>
  </si>
  <si>
    <t>Φ1000检查井</t>
  </si>
  <si>
    <t>座</t>
  </si>
  <si>
    <t>b-1</t>
  </si>
  <si>
    <t>C25砼基础、及垫层</t>
  </si>
  <si>
    <t>b-2</t>
  </si>
  <si>
    <r>
      <rPr>
        <sz val="10"/>
        <color rgb="FF000000"/>
        <rFont val="Arial Narrow"/>
        <family val="2"/>
      </rPr>
      <t>C30</t>
    </r>
    <r>
      <rPr>
        <sz val="10"/>
        <color rgb="FF000000"/>
        <rFont val="宋体"/>
        <family val="3"/>
        <charset val="134"/>
      </rPr>
      <t>井壁砼、盖板砼</t>
    </r>
  </si>
  <si>
    <t xml:space="preserve">   场地清理；排水；墙身、盖板模板制作、安装、拆除；混凝土浇筑、养护；施工缝、沉降缝设置、处理等所有与端墙墙身有关的工作内容。</t>
  </si>
  <si>
    <t>b-3</t>
  </si>
  <si>
    <t>预制井筒及井盖安装</t>
  </si>
  <si>
    <t>处</t>
  </si>
  <si>
    <t>场地清理；井筒、井盖卸车；安装、接缝；防水措施等所有与管节安装有关的工作内容。</t>
  </si>
  <si>
    <t xml:space="preserve">    依据图纸所示位置及断面尺寸，并经现场实际验收合格按双方核定的设计（含变更设计）内的数量以处为单位计量；除井筒、井盖由甲方提供外，其余所有材料、设备（含吊车、挖机、油毛毡、沥青麻絮等）、安全防护设施等均由乙方提供及实施，费用（含井筒、井盖卸车费用；二次调拨、搬运）已含在综合单价中，不另行计量。</t>
  </si>
  <si>
    <t>b-4</t>
  </si>
  <si>
    <t>钢筋制作安装</t>
  </si>
  <si>
    <t>Φ1250检查井</t>
  </si>
  <si>
    <t>c-1</t>
  </si>
  <si>
    <t>c-2</t>
  </si>
  <si>
    <t>c-3</t>
  </si>
  <si>
    <t>c-4</t>
  </si>
  <si>
    <t>Φ1500检查井</t>
  </si>
  <si>
    <t>d-1</t>
  </si>
  <si>
    <t>d-2</t>
  </si>
  <si>
    <t>d-3</t>
  </si>
  <si>
    <t>d-4</t>
  </si>
  <si>
    <t>方形检查井</t>
  </si>
  <si>
    <t>f-1</t>
  </si>
  <si>
    <t>f-2</t>
  </si>
  <si>
    <t>f-3</t>
  </si>
  <si>
    <t>f-4</t>
  </si>
  <si>
    <t>e</t>
  </si>
  <si>
    <t>砖砌雨水箅</t>
  </si>
  <si>
    <t>个</t>
  </si>
  <si>
    <t>e-1</t>
  </si>
  <si>
    <t>双70cm雨水篦</t>
  </si>
  <si>
    <t xml:space="preserve">    场地清理、基础开挖、浇筑砼基础、砌墙、粉刷抹面、养护、回填基础、安装基座、雨水篦固定等所有与雨水井有关的工作内容。</t>
  </si>
  <si>
    <t>依据图纸所示位置和浇筑砼厚度、砖砌厚高度、采用形式按照设计交底并经现场验收合格的按双方核定的设计（含设计变更）内工程量以座为单位计量。除井盖和支座由甲方供应外，其他所有材料、设备（含发电机、搅拌机及施工用电设施等）及便道填筑及维护、土石方开挖、安全防护设施等均由乙方提供及实施，费用已含在综合单价中，不另行计量。</t>
  </si>
  <si>
    <t>e-2</t>
  </si>
  <si>
    <t>单100cm雨水篦</t>
  </si>
  <si>
    <t>备注：本次招标项目要求施工队必须配备足够的现场技术人员（其中：至少配备1名专业测量技术人员,及至少配备GPS和水准测量仪器各1台）；各施工队机械配备必须要求使用26t以上的压路机、洒水车,机械数量必须满足甲方施工要求；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</si>
  <si>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</si>
  <si>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</si>
  <si>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</si>
  <si>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</si>
  <si>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4、土石方结算按路基设计图纸计算，土石比不予调整。</t>
  </si>
  <si>
    <t xml:space="preserve"> 上饶野生动物乐园主干道道路工程路基工程量清单（LJFB-2标MK2+380.418~MK5+659.765）</t>
  </si>
  <si>
    <r>
      <rPr>
        <sz val="10"/>
        <color indexed="8"/>
        <rFont val="Arial Narrow"/>
        <family val="2"/>
      </rPr>
      <t xml:space="preserve">     </t>
    </r>
    <r>
      <rPr>
        <sz val="10"/>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10"/>
        <color indexed="8"/>
        <rFont val="Arial Narrow"/>
        <family val="2"/>
      </rPr>
      <t xml:space="preserve"> </t>
    </r>
    <r>
      <rPr>
        <sz val="10"/>
        <color indexed="8"/>
        <rFont val="宋体"/>
        <family val="3"/>
        <charset val="134"/>
      </rPr>
      <t>基底翻松、压实、挖台阶；</t>
    </r>
    <r>
      <rPr>
        <sz val="10"/>
        <color indexed="8"/>
        <rFont val="Arial Narrow"/>
        <family val="2"/>
      </rPr>
      <t xml:space="preserve"> </t>
    </r>
    <r>
      <rPr>
        <sz val="10"/>
        <color indexed="8"/>
        <rFont val="宋体"/>
        <family val="3"/>
        <charset val="134"/>
      </rPr>
      <t>挖、装、运输</t>
    </r>
    <r>
      <rPr>
        <sz val="10"/>
        <color indexed="8"/>
        <rFont val="Arial Narrow"/>
        <family val="2"/>
      </rPr>
      <t>1km</t>
    </r>
    <r>
      <rPr>
        <sz val="10"/>
        <color indexed="8"/>
        <rFont val="宋体"/>
        <family val="3"/>
        <charset val="134"/>
      </rPr>
      <t>内、卸车；分层摊铺；洒水、压实、刷坡、路基补强；施工排水处理；借土场整型等所有与借土填方有关的工作内容。</t>
    </r>
  </si>
  <si>
    <r>
      <rPr>
        <sz val="10"/>
        <rFont val="Arial Narrow"/>
        <family val="2"/>
      </rPr>
      <t xml:space="preserve">      </t>
    </r>
    <r>
      <rPr>
        <sz val="10"/>
        <rFont val="宋体"/>
        <family val="3"/>
        <charset val="134"/>
      </rPr>
      <t>低填浅挖、半填半挖、填挖交界、陡坡地段、新旧路衔接等特殊路基台阶设置；便道、便涵填筑及维护、施工便道及施工区洒水抑尘；石方爆破、清理工作面（含解小至符合填筑要求）；挖、装、运输、卸车；填料分理、弃土整型、压实；</t>
    </r>
    <r>
      <rPr>
        <sz val="10"/>
        <rFont val="Arial Narrow"/>
        <family val="2"/>
      </rPr>
      <t>.</t>
    </r>
    <r>
      <rPr>
        <sz val="10"/>
        <rFont val="宋体"/>
        <family val="3"/>
        <charset val="134"/>
      </rPr>
      <t>施工排水处理；边坡整修、路床顶面凿平或石渣填平压实、路床清理等、交工所有与挖石方有关的工作内容。</t>
    </r>
  </si>
  <si>
    <r>
      <rPr>
        <sz val="10"/>
        <color rgb="FF000000"/>
        <rFont val="Arial Narrow"/>
        <family val="2"/>
      </rPr>
      <t xml:space="preserve">        </t>
    </r>
    <r>
      <rPr>
        <sz val="10"/>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10"/>
        <color rgb="FF000000"/>
        <rFont val="Arial Narrow"/>
        <family val="2"/>
      </rPr>
      <t xml:space="preserve"> </t>
    </r>
    <r>
      <rPr>
        <sz val="10"/>
        <color rgb="FF000000"/>
        <rFont val="宋体"/>
        <family val="3"/>
        <charset val="134"/>
      </rPr>
      <t xml:space="preserve">台阶开挖、边沟、排水沟、截水沟、临时排水工程等开挖石方费用已含在综合单价中，不另行计量；爆破手续及安全手续的办理、爆破耗材、安全防护设施、安全人员等所需费用已含在综合单价中，不另行计量；如乙方采用非爆破方法开挖，计量按综合单价执行，不予调整。
</t>
    </r>
  </si>
  <si>
    <r>
      <rPr>
        <sz val="10"/>
        <color rgb="FF000000"/>
        <rFont val="Arial Narrow"/>
        <family val="2"/>
      </rPr>
      <t xml:space="preserve">              </t>
    </r>
    <r>
      <rPr>
        <sz val="10"/>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10"/>
        <color rgb="FF000000"/>
        <rFont val="Arial Narrow"/>
        <family val="2"/>
      </rPr>
      <t xml:space="preserve"> </t>
    </r>
    <r>
      <rPr>
        <sz val="10"/>
        <color rgb="FF000000"/>
        <rFont val="宋体"/>
        <family val="3"/>
        <charset val="134"/>
      </rPr>
      <t>台阶开挖、边沟、排水沟、截水沟、开挖石方等费用已含在综合单价中，不另行计量；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10"/>
        <color rgb="FF000000"/>
        <rFont val="宋体"/>
        <family val="3"/>
        <charset val="134"/>
      </rPr>
      <t xml:space="preserve">    </t>
    </r>
    <r>
      <rPr>
        <sz val="10"/>
        <color rgb="FF000000"/>
        <rFont val="宋体"/>
        <family val="3"/>
        <charset val="134"/>
      </rPr>
      <t>元</t>
    </r>
    <r>
      <rPr>
        <sz val="10"/>
        <color rgb="FF000000"/>
        <rFont val="Arial Narrow"/>
        <family val="2"/>
      </rPr>
      <t>/m3</t>
    </r>
    <r>
      <rPr>
        <sz val="10"/>
        <color rgb="FF000000"/>
        <rFont val="宋体"/>
        <family val="3"/>
        <charset val="134"/>
      </rPr>
      <t xml:space="preserve">。）
</t>
    </r>
  </si>
  <si>
    <t>填浅挖、半填半挖、陡坡地段、填挖交界、新旧路衔接等特殊路基台阶设置；便道、便涵填筑及维护、施工便道及施工区洒水抑尘；基底翻松、压实、挖台阶；.临时排水、 翻晒；机械整平、分层摊铺；洒水、压实（含小型机具夯实）、刷坡、路基补强；修整边坡、路床整型、路床交验等所有与填方有关的工作内容。</t>
  </si>
  <si>
    <r>
      <rPr>
        <sz val="10"/>
        <color rgb="FF000000"/>
        <rFont val="Times New Roman"/>
        <family val="1"/>
      </rPr>
      <t xml:space="preserve">       </t>
    </r>
    <r>
      <rPr>
        <sz val="10"/>
        <color indexed="8"/>
        <rFont val="宋体"/>
        <family val="3"/>
        <charset val="134"/>
      </rPr>
      <t>低填浅挖、半填半挖、陡坡地段、填挖交界、新旧路衔接等特殊路基台阶设置；便道、便涵填筑及维护、施工便道及施工区洒水抑尘；基底翻松、压实，挖台阶；临时排水、</t>
    </r>
    <r>
      <rPr>
        <sz val="10"/>
        <color indexed="8"/>
        <rFont val="Times New Roman"/>
        <family val="1"/>
      </rPr>
      <t xml:space="preserve"> </t>
    </r>
    <r>
      <rPr>
        <sz val="10"/>
        <color indexed="8"/>
        <rFont val="宋体"/>
        <family val="3"/>
        <charset val="134"/>
      </rPr>
      <t>翻晒；边坡码砌；机械整平、分层摊铺；小石块（或石屑）填缝、找补；洒水、压实（含小型机具夯实）、路基补强；修整边坡、路床整型、路床交验等所有与填方有关的工作内容。</t>
    </r>
  </si>
  <si>
    <r>
      <rPr>
        <sz val="10"/>
        <color indexed="8"/>
        <rFont val="Arial Narrow"/>
        <family val="2"/>
      </rPr>
      <t xml:space="preserve">     </t>
    </r>
    <r>
      <rPr>
        <sz val="10"/>
        <color indexed="8"/>
        <rFont val="宋体"/>
        <family val="3"/>
        <charset val="134"/>
      </rPr>
      <t>低填浅挖处理、填挖交界处理、半填半挖处理、挖台阶处理、陡坡路堤处理、新旧路衔接等特殊路基台阶设置；取土场便道、便涵填筑及维护、施工便道及施工区洒水抑尘；借石场场地清理、清除不适用材料；</t>
    </r>
    <r>
      <rPr>
        <sz val="10"/>
        <color indexed="8"/>
        <rFont val="Arial Narrow"/>
        <family val="2"/>
      </rPr>
      <t xml:space="preserve"> </t>
    </r>
    <r>
      <rPr>
        <sz val="10"/>
        <color indexed="8"/>
        <rFont val="宋体"/>
        <family val="3"/>
        <charset val="134"/>
      </rPr>
      <t>基底翻松、压实、挖台阶；爆破、</t>
    </r>
    <r>
      <rPr>
        <sz val="10"/>
        <color indexed="8"/>
        <rFont val="Arial Narrow"/>
        <family val="2"/>
      </rPr>
      <t xml:space="preserve"> </t>
    </r>
    <r>
      <rPr>
        <sz val="10"/>
        <color indexed="8"/>
        <rFont val="宋体"/>
        <family val="3"/>
        <charset val="134"/>
      </rPr>
      <t>挖、装、运输</t>
    </r>
    <r>
      <rPr>
        <sz val="10"/>
        <color indexed="8"/>
        <rFont val="Arial Narrow"/>
        <family val="2"/>
      </rPr>
      <t>1km</t>
    </r>
    <r>
      <rPr>
        <sz val="10"/>
        <color indexed="8"/>
        <rFont val="宋体"/>
        <family val="3"/>
        <charset val="134"/>
      </rPr>
      <t>内、卸车；分层摊铺；洒水、压实、刷坡、路基补强；施工排水处理；借土场整型等所有与借土、石填方有关的工作内容。</t>
    </r>
  </si>
  <si>
    <r>
      <rPr>
        <sz val="10"/>
        <color indexed="8"/>
        <rFont val="宋体"/>
        <family val="3"/>
        <charset val="134"/>
      </rPr>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涵洞等排水、涵洞工程开挖土方、取土场清表、砍挖树木等费用已含在综合单价中，不另行计量。运输1km内已含在综合单价中，每超过500m运距综合单价增加费用0.70元/m3。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10"/>
        <color indexed="8"/>
        <rFont val="宋体"/>
        <family val="3"/>
        <charset val="134"/>
      </rPr>
      <t xml:space="preserve">    </t>
    </r>
    <r>
      <rPr>
        <sz val="10"/>
        <color indexed="8"/>
        <rFont val="宋体"/>
        <family val="3"/>
        <charset val="134"/>
      </rPr>
      <t>元/m3。）</t>
    </r>
  </si>
  <si>
    <r>
      <rPr>
        <sz val="10"/>
        <color indexed="8"/>
        <rFont val="Arial Narrow"/>
        <family val="2"/>
      </rP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粘接）；边缘处理等所有与土工格栅有关的工作内容。</t>
    </r>
  </si>
  <si>
    <r>
      <rPr>
        <sz val="10"/>
        <color indexed="8"/>
        <rFont val="Arial Narrow"/>
        <family val="2"/>
      </rP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等费用已含在综合单价中，不另行计量。</t>
    </r>
  </si>
  <si>
    <r>
      <rPr>
        <sz val="10"/>
        <color theme="1"/>
        <rFont val="宋体"/>
        <family val="3"/>
        <charset val="134"/>
      </rPr>
      <t xml:space="preserve">   </t>
    </r>
    <r>
      <rPr>
        <sz val="10"/>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</si>
  <si>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</si>
  <si>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便道填筑及维护、挖基、基坑排水、基底清理；材料收集或采购、运输、铺筑、碾压等所有与垫层有关的工作内容。</t>
    </r>
  </si>
  <si>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便道填筑及维护、挖基、基坑排水、基底清理；材料收集或采购、运输、铺筑、碾压等所有与换填有关的工作内容。</t>
    </r>
  </si>
  <si>
    <r>
      <rPr>
        <sz val="10"/>
        <color rgb="FF000000"/>
        <rFont val="Times New Roman"/>
        <family val="1"/>
      </rPr>
      <t xml:space="preserve">       </t>
    </r>
    <r>
      <rPr>
        <sz val="10"/>
        <color rgb="FF000000"/>
        <rFont val="宋体"/>
        <family val="3"/>
        <charset val="134"/>
      </rPr>
      <t>便道填筑及维护、挖基、基坑排水、基底清理；材料采购、运输、铺筑、碾压等所有与换填有关的工作内容。</t>
    </r>
  </si>
  <si>
    <r>
      <rPr>
        <sz val="10"/>
        <color theme="1"/>
        <rFont val="宋体"/>
        <family val="3"/>
        <charset val="134"/>
      </rPr>
      <t xml:space="preserve">   </t>
    </r>
    <r>
      <rPr>
        <sz val="10"/>
        <color rgb="FF000000"/>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综合的单价含回填管道、集水井回填单价）</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</si>
  <si>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</si>
  <si>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rgb="FF000000"/>
        <rFont val="Arial Narrow"/>
        <family val="2"/>
      </rPr>
      <t>Φ1.0m</t>
    </r>
    <r>
      <rPr>
        <sz val="10"/>
        <color rgb="FF000000"/>
        <rFont val="宋体"/>
        <family val="3"/>
        <charset val="134"/>
      </rPr>
      <t>管节安装</t>
    </r>
  </si>
  <si>
    <r>
      <rPr>
        <sz val="10"/>
        <color rgb="FF000000"/>
        <rFont val="Arial Narrow"/>
        <family val="2"/>
      </rPr>
      <t>Φ0.8m</t>
    </r>
    <r>
      <rPr>
        <sz val="10"/>
        <color rgb="FF000000"/>
        <rFont val="宋体"/>
        <family val="3"/>
        <charset val="134"/>
      </rPr>
      <t>管节安装</t>
    </r>
  </si>
  <si>
    <r>
      <rPr>
        <sz val="10"/>
        <color rgb="FF000000"/>
        <rFont val="Arial Narrow"/>
        <family val="2"/>
      </rPr>
      <t>DN50cmHDPE</t>
    </r>
    <r>
      <rPr>
        <sz val="10"/>
        <color rgb="FF000000"/>
        <rFont val="宋体"/>
        <family val="3"/>
        <charset val="134"/>
      </rPr>
      <t>管节安装</t>
    </r>
  </si>
  <si>
    <r>
      <rPr>
        <sz val="10"/>
        <color rgb="FF000000"/>
        <rFont val="Times New Roman"/>
        <family val="1"/>
      </rPr>
      <t xml:space="preserve">       </t>
    </r>
    <r>
      <rPr>
        <sz val="10"/>
        <color rgb="FF000000"/>
        <rFont val="宋体"/>
        <family val="3"/>
        <charset val="134"/>
      </rPr>
      <t>便道填筑及维护、挖基、基坑排水、基底清理；材料采购、运输、铺筑、碾压等所有与垫层有关的工作内容。</t>
    </r>
  </si>
  <si>
    <t xml:space="preserve"> 上饶野生动物乐园主干道道路工程路基工程量清单（LJFB-3标NK0+000~K2+682.22）</t>
  </si>
  <si>
    <t>回填碎石土（软石）</t>
  </si>
  <si>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indexed="8"/>
        <rFont val="宋体"/>
        <family val="3"/>
        <charset val="134"/>
      </rPr>
      <t>。爆破手续及安全手续的办理、爆破耗材、安全防护设施、安全人员等所需费用已含在综合单价中，不另行计量；如乙方采用非爆破方法开挖，计量按单价执行，不予调整。</t>
    </r>
  </si>
  <si>
    <r>
      <rPr>
        <sz val="10"/>
        <color rgb="FF000000"/>
        <rFont val="Arial Narrow"/>
        <family val="2"/>
      </rPr>
      <t>DN20cm</t>
    </r>
    <r>
      <rPr>
        <sz val="10"/>
        <color rgb="FF000000"/>
        <rFont val="宋体"/>
        <family val="3"/>
        <charset val="134"/>
      </rPr>
      <t>管节安装</t>
    </r>
  </si>
  <si>
    <r>
      <rPr>
        <sz val="10"/>
        <color rgb="FF000000"/>
        <rFont val="Arial Narrow"/>
        <family val="2"/>
      </rPr>
      <t>DN30mHDPE</t>
    </r>
    <r>
      <rPr>
        <sz val="10"/>
        <color rgb="FF000000"/>
        <rFont val="宋体"/>
        <family val="3"/>
        <charset val="134"/>
      </rPr>
      <t>管节安装</t>
    </r>
  </si>
  <si>
    <t>单70cm雨水篦</t>
  </si>
  <si>
    <t xml:space="preserve">    场地清理、基础开挖、浇筑砼基础、砌墙、粉刷抹面、养护、回填基础、安装基座、盖雨水篦及固定等所有与雨水井有关的工作内容。</t>
  </si>
  <si>
    <t>依据图纸所示位置和浇筑砼厚度、砖砌厚高度、采用形式按照设计交底并经现场验收合格的按双方核定的设计（含设计变更）内工程量以座为单位计量。所有材料、设备（含发电机、搅拌机及施工用电设施等）及便道填筑及维护、土石方开挖、安全防护设施等均由乙方提供及实施，费用已含在综合单价中，不另行计量。（甲方提供雨水篦及基座）</t>
  </si>
  <si>
    <r>
      <rPr>
        <sz val="10"/>
        <rFont val="宋体"/>
        <family val="3"/>
        <charset val="134"/>
      </rP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10"/>
        <color rgb="FFFF0000"/>
        <rFont val="宋体"/>
        <family val="3"/>
        <charset val="134"/>
      </rPr>
      <t>切割</t>
    </r>
    <r>
      <rPr>
        <sz val="10"/>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</si>
  <si>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10"/>
        <color rgb="FFFF0000"/>
        <rFont val="宋体"/>
        <family val="3"/>
        <charset val="134"/>
      </rPr>
      <t>切割</t>
    </r>
    <r>
      <rPr>
        <sz val="10"/>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</si>
  <si>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9.5"/>
        <color rgb="FFFF0000"/>
        <rFont val="宋体"/>
        <family val="3"/>
        <charset val="134"/>
      </rPr>
      <t>切割</t>
    </r>
    <r>
      <rPr>
        <sz val="9.5"/>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</si>
  <si>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预留路基宽度超宽填的填方量及地面下沉增加的填方量、路基补强所需费用（含大型冲击锤补强，或者采用强夯机夯实发生的费用）、安全防护措施等作为路基填筑的附属工作，不另行计量；边沟、排水沟、截水沟、排水工程开挖土方、取土场清表、砍挖树木等费用已含在综合单价中，不另行计量。；运输1km内已含在综合单价中，每超过500m运距综合单价增加费用0.7元/m3。当甲方发现填方路基完工后沉降可以随时要求乙方配备26t以上压路机，或者采用强夯机夯实，发生的费用由乙方承担。</t>
    <phoneticPr fontId="38" type="noConversion"/>
  </si>
  <si>
    <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9.5"/>
        <color indexed="8"/>
        <rFont val="Arial Narrow"/>
        <family val="2"/>
      </rPr>
      <t xml:space="preserve"> </t>
    </r>
    <r>
      <rPr>
        <sz val="9.5"/>
        <color indexed="8"/>
        <rFont val="宋体"/>
        <family val="3"/>
        <charset val="134"/>
      </rPr>
      <t>基底翻松、压实、挖台阶；</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内、卸车；分层摊铺；洒水、压实、刷坡、路基补强；施工排水处理；借土场整型等所有与借土填方有关的工作内容。</t>
    </r>
    <phoneticPr fontId="38" type="noConversion"/>
  </si>
</sst>
</file>

<file path=xl/styles.xml><?xml version="1.0" encoding="utf-8"?>
<styleSheet xmlns="http://schemas.openxmlformats.org/spreadsheetml/2006/main">
  <numFmts count="3">
    <numFmt numFmtId="176" formatCode="0_ "/>
    <numFmt numFmtId="177" formatCode="0.00_);[Red]\(0.00\)"/>
    <numFmt numFmtId="178" formatCode="0.00000_);[Red]\(0.00000\)"/>
  </numFmts>
  <fonts count="39">
    <font>
      <sz val="11"/>
      <color theme="1"/>
      <name val="宋体"/>
      <charset val="134"/>
      <scheme val="minor"/>
    </font>
    <font>
      <sz val="10"/>
      <color theme="1"/>
      <name val="宋体"/>
      <charset val="134"/>
      <scheme val="minor"/>
    </font>
    <font>
      <b/>
      <sz val="20"/>
      <color theme="1"/>
      <name val="宋体"/>
      <charset val="134"/>
      <scheme val="minor"/>
    </font>
    <font>
      <b/>
      <sz val="10"/>
      <color theme="1"/>
      <name val="宋体"/>
      <charset val="134"/>
      <scheme val="minor"/>
    </font>
    <font>
      <sz val="10"/>
      <name val="宋体"/>
      <charset val="134"/>
    </font>
    <font>
      <sz val="10"/>
      <color theme="1"/>
      <name val="宋体"/>
      <charset val="134"/>
    </font>
    <font>
      <sz val="10"/>
      <color indexed="8"/>
      <name val="Arial Narrow"/>
      <family val="2"/>
    </font>
    <font>
      <sz val="10"/>
      <color indexed="8"/>
      <name val="宋体"/>
      <family val="3"/>
      <charset val="134"/>
    </font>
    <font>
      <sz val="10"/>
      <color rgb="FF000000"/>
      <name val="Arial Narrow"/>
      <family val="2"/>
    </font>
    <font>
      <sz val="10"/>
      <name val="Arial Narrow"/>
      <family val="2"/>
    </font>
    <font>
      <sz val="10"/>
      <color rgb="FF000000"/>
      <name val="宋体"/>
      <family val="3"/>
      <charset val="134"/>
      <scheme val="minor"/>
    </font>
    <font>
      <sz val="10"/>
      <color rgb="FF000000"/>
      <name val="Times New Roman"/>
      <family val="1"/>
    </font>
    <font>
      <sz val="10"/>
      <color rgb="FF000000"/>
      <name val="宋体"/>
      <family val="3"/>
      <charset val="134"/>
    </font>
    <font>
      <sz val="10"/>
      <name val="宋体"/>
      <family val="3"/>
      <charset val="134"/>
      <scheme val="minor"/>
    </font>
    <font>
      <sz val="10"/>
      <color rgb="FF000000"/>
      <name val="smartSimSun"/>
      <family val="3"/>
      <charset val="134"/>
    </font>
    <font>
      <sz val="10"/>
      <color indexed="8"/>
      <name val="Times New Roman"/>
      <family val="1"/>
    </font>
    <font>
      <sz val="9.5"/>
      <color theme="1"/>
      <name val="宋体"/>
      <family val="3"/>
      <charset val="134"/>
      <scheme val="minor"/>
    </font>
    <font>
      <sz val="9.5"/>
      <color theme="1"/>
      <name val="宋体"/>
      <family val="3"/>
      <charset val="134"/>
    </font>
    <font>
      <sz val="9.5"/>
      <name val="宋体"/>
      <family val="3"/>
      <charset val="134"/>
    </font>
    <font>
      <sz val="9.5"/>
      <color indexed="8"/>
      <name val="Arial Narrow"/>
      <family val="2"/>
    </font>
    <font>
      <sz val="9.5"/>
      <color indexed="8"/>
      <name val="宋体"/>
      <family val="3"/>
      <charset val="134"/>
    </font>
    <font>
      <sz val="9.5"/>
      <name val="Arial Narrow"/>
      <family val="2"/>
    </font>
    <font>
      <sz val="9.5"/>
      <color rgb="FF000000"/>
      <name val="Arial Narrow"/>
      <family val="2"/>
    </font>
    <font>
      <sz val="9.5"/>
      <color rgb="FF000000"/>
      <name val="宋体"/>
      <family val="3"/>
      <charset val="134"/>
      <scheme val="minor"/>
    </font>
    <font>
      <sz val="9.5"/>
      <color rgb="FF000000"/>
      <name val="Times New Roman"/>
      <family val="1"/>
    </font>
    <font>
      <sz val="9.5"/>
      <color rgb="FF000000"/>
      <name val="宋体"/>
      <family val="3"/>
      <charset val="134"/>
    </font>
    <font>
      <sz val="9.5"/>
      <name val="宋体"/>
      <family val="3"/>
      <charset val="134"/>
      <scheme val="minor"/>
    </font>
    <font>
      <sz val="9.5"/>
      <color indexed="8"/>
      <name val="Times New Roman"/>
      <family val="1"/>
    </font>
    <font>
      <sz val="12"/>
      <color rgb="FF000000"/>
      <name val="宋体"/>
      <family val="3"/>
      <charset val="134"/>
    </font>
    <font>
      <sz val="12"/>
      <name val="宋体"/>
      <family val="3"/>
      <charset val="134"/>
    </font>
    <font>
      <sz val="10"/>
      <color rgb="FFFF0000"/>
      <name val="宋体"/>
      <family val="3"/>
      <charset val="134"/>
    </font>
    <font>
      <u/>
      <sz val="10"/>
      <color rgb="FF000000"/>
      <name val="宋体"/>
      <family val="3"/>
      <charset val="134"/>
    </font>
    <font>
      <u/>
      <sz val="10"/>
      <color indexed="8"/>
      <name val="宋体"/>
      <family val="3"/>
      <charset val="134"/>
    </font>
    <font>
      <sz val="9.5"/>
      <color rgb="FFFF0000"/>
      <name val="宋体"/>
      <family val="3"/>
      <charset val="134"/>
    </font>
    <font>
      <u/>
      <sz val="9.5"/>
      <color indexed="8"/>
      <name val="宋体"/>
      <family val="3"/>
      <charset val="134"/>
    </font>
    <font>
      <sz val="11"/>
      <color theme="1"/>
      <name val="宋体"/>
      <family val="3"/>
      <charset val="134"/>
      <scheme val="minor"/>
    </font>
    <font>
      <sz val="10"/>
      <name val="宋体"/>
      <family val="3"/>
      <charset val="134"/>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50">
    <xf numFmtId="0" fontId="0" fillId="0" borderId="0">
      <alignment vertical="center"/>
    </xf>
    <xf numFmtId="0" fontId="35" fillId="0" borderId="0"/>
    <xf numFmtId="0" fontId="29"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29"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28" fillId="0" borderId="0">
      <alignment vertical="center"/>
    </xf>
    <xf numFmtId="0" fontId="35" fillId="0" borderId="0"/>
    <xf numFmtId="0" fontId="35" fillId="0" borderId="0"/>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alignment vertical="center"/>
    </xf>
    <xf numFmtId="0" fontId="35" fillId="0" borderId="0">
      <alignment vertical="center"/>
    </xf>
    <xf numFmtId="0" fontId="29" fillId="0" borderId="0">
      <alignment vertical="center"/>
    </xf>
    <xf numFmtId="0" fontId="29" fillId="0" borderId="0">
      <alignment vertical="center"/>
    </xf>
    <xf numFmtId="0" fontId="35" fillId="0" borderId="0">
      <alignment vertical="center"/>
    </xf>
    <xf numFmtId="0" fontId="35" fillId="0" borderId="0"/>
    <xf numFmtId="0" fontId="29" fillId="0" borderId="0">
      <alignment vertical="center"/>
    </xf>
    <xf numFmtId="0" fontId="29" fillId="0" borderId="0">
      <alignment vertical="center"/>
    </xf>
    <xf numFmtId="0" fontId="35" fillId="0" borderId="0">
      <alignment vertical="center"/>
    </xf>
    <xf numFmtId="0" fontId="35" fillId="0" borderId="0">
      <alignment vertical="center"/>
    </xf>
    <xf numFmtId="0" fontId="29" fillId="0" borderId="0">
      <alignment vertical="center"/>
    </xf>
    <xf numFmtId="0" fontId="35"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35" fillId="0" borderId="0"/>
    <xf numFmtId="0" fontId="35"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28" fillId="0" borderId="0">
      <alignment vertical="center"/>
    </xf>
    <xf numFmtId="0" fontId="28" fillId="0" borderId="0">
      <alignment vertical="center"/>
    </xf>
    <xf numFmtId="0" fontId="28" fillId="0" borderId="0">
      <alignment vertical="center"/>
    </xf>
    <xf numFmtId="0" fontId="35" fillId="0" borderId="0"/>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9" fillId="0" borderId="0"/>
    <xf numFmtId="0" fontId="35" fillId="0" borderId="0">
      <alignment vertical="center"/>
    </xf>
    <xf numFmtId="0" fontId="35" fillId="0" borderId="0"/>
    <xf numFmtId="0" fontId="35" fillId="0" borderId="0">
      <alignment vertical="center"/>
    </xf>
    <xf numFmtId="0" fontId="29" fillId="0" borderId="0"/>
    <xf numFmtId="0" fontId="35" fillId="0" borderId="0">
      <alignment vertical="center"/>
    </xf>
    <xf numFmtId="0" fontId="35" fillId="0" borderId="0">
      <alignment vertical="center"/>
    </xf>
    <xf numFmtId="0" fontId="35" fillId="0" borderId="0">
      <alignment vertical="center"/>
    </xf>
    <xf numFmtId="0" fontId="29" fillId="0" borderId="0">
      <alignment vertical="center"/>
    </xf>
    <xf numFmtId="0" fontId="29" fillId="0" borderId="0">
      <alignment vertical="center"/>
    </xf>
    <xf numFmtId="0" fontId="35" fillId="0" borderId="0"/>
    <xf numFmtId="0" fontId="35" fillId="0" borderId="0"/>
    <xf numFmtId="0" fontId="35" fillId="0" borderId="0"/>
    <xf numFmtId="0" fontId="35" fillId="0" borderId="0"/>
    <xf numFmtId="0" fontId="28" fillId="0" borderId="0">
      <alignment vertical="center"/>
    </xf>
    <xf numFmtId="0" fontId="35" fillId="0" borderId="0">
      <alignment vertical="center"/>
    </xf>
    <xf numFmtId="0" fontId="35"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cellStyleXfs>
  <cellXfs count="158">
    <xf numFmtId="0" fontId="0" fillId="0" borderId="0" xfId="0">
      <alignment vertical="center"/>
    </xf>
    <xf numFmtId="0" fontId="1" fillId="2" borderId="0" xfId="0" applyFont="1" applyFill="1">
      <alignment vertical="center"/>
    </xf>
    <xf numFmtId="0" fontId="1" fillId="2" borderId="0" xfId="0" applyFont="1" applyFill="1" applyBorder="1" applyAlignment="1"/>
    <xf numFmtId="49" fontId="1" fillId="2" borderId="0" xfId="0" applyNumberFormat="1" applyFont="1" applyFill="1">
      <alignment vertical="center"/>
    </xf>
    <xf numFmtId="0" fontId="1" fillId="2" borderId="0" xfId="0" applyFont="1" applyFill="1" applyAlignment="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4" fillId="2" borderId="2" xfId="0" applyNumberFormat="1" applyFont="1" applyFill="1" applyBorder="1" applyAlignment="1">
      <alignmen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4" fillId="2" borderId="2" xfId="22" applyFont="1" applyFill="1" applyBorder="1" applyAlignment="1">
      <alignment horizontal="left" vertical="center" wrapText="1"/>
    </xf>
    <xf numFmtId="176" fontId="6" fillId="2" borderId="3" xfId="28" applyNumberFormat="1" applyFont="1" applyFill="1" applyBorder="1" applyAlignment="1" applyProtection="1">
      <alignment horizontal="left" vertical="center" wrapText="1"/>
      <protection locked="0"/>
    </xf>
    <xf numFmtId="176" fontId="7" fillId="2" borderId="4" xfId="28" applyNumberFormat="1" applyFont="1" applyFill="1" applyBorder="1" applyAlignment="1" applyProtection="1">
      <alignment horizontal="left" vertical="top" wrapText="1"/>
      <protection locked="0"/>
    </xf>
    <xf numFmtId="0" fontId="8" fillId="2" borderId="2" xfId="0" applyNumberFormat="1" applyFont="1" applyFill="1" applyBorder="1" applyAlignment="1">
      <alignment horizontal="center" vertical="center" shrinkToFit="1"/>
    </xf>
    <xf numFmtId="176" fontId="9" fillId="2" borderId="5" xfId="20" applyNumberFormat="1" applyFont="1" applyFill="1" applyBorder="1" applyAlignment="1" applyProtection="1">
      <alignment horizontal="left" vertical="center" wrapText="1"/>
      <protection locked="0"/>
    </xf>
    <xf numFmtId="176" fontId="8" fillId="2" borderId="2" xfId="20" applyNumberFormat="1" applyFont="1" applyFill="1" applyBorder="1" applyAlignment="1" applyProtection="1">
      <alignment horizontal="left" vertical="top" wrapText="1"/>
      <protection locked="0"/>
    </xf>
    <xf numFmtId="0" fontId="1" fillId="2" borderId="2" xfId="99" applyFont="1" applyFill="1" applyBorder="1" applyAlignment="1">
      <alignment horizontal="center" vertical="center" wrapText="1"/>
    </xf>
    <xf numFmtId="0" fontId="1" fillId="2" borderId="2" xfId="99" applyFont="1" applyFill="1" applyBorder="1" applyAlignment="1">
      <alignment horizontal="left" vertical="center" wrapText="1"/>
    </xf>
    <xf numFmtId="176" fontId="6" fillId="2" borderId="5" xfId="45" applyNumberFormat="1" applyFont="1" applyFill="1" applyBorder="1" applyAlignment="1" applyProtection="1">
      <alignment horizontal="left" vertical="center" wrapText="1"/>
      <protection locked="0"/>
    </xf>
    <xf numFmtId="0" fontId="10" fillId="2" borderId="2" xfId="45" applyFont="1" applyFill="1" applyBorder="1" applyAlignment="1">
      <alignment horizontal="left" vertical="center" wrapText="1"/>
    </xf>
    <xf numFmtId="0" fontId="11" fillId="2" borderId="2" xfId="45" applyFont="1" applyFill="1" applyBorder="1" applyAlignment="1">
      <alignment vertical="center" wrapText="1"/>
    </xf>
    <xf numFmtId="0" fontId="1" fillId="2" borderId="2" xfId="0" applyFont="1" applyFill="1" applyBorder="1" applyAlignment="1">
      <alignment vertical="center" wrapText="1"/>
    </xf>
    <xf numFmtId="176" fontId="6" fillId="2" borderId="5" xfId="28" applyNumberFormat="1" applyFont="1" applyFill="1" applyBorder="1" applyAlignment="1" applyProtection="1">
      <alignment horizontal="left" vertical="center" wrapText="1"/>
      <protection locked="0"/>
    </xf>
    <xf numFmtId="176" fontId="7" fillId="2" borderId="2" xfId="28" applyNumberFormat="1" applyFont="1" applyFill="1" applyBorder="1" applyAlignment="1" applyProtection="1">
      <alignment horizontal="left" vertical="top" wrapText="1"/>
      <protection locked="0"/>
    </xf>
    <xf numFmtId="0" fontId="5" fillId="2" borderId="2" xfId="96" applyFont="1" applyFill="1" applyBorder="1" applyAlignment="1">
      <alignment horizontal="left" vertical="center" wrapText="1"/>
    </xf>
    <xf numFmtId="176" fontId="4" fillId="2" borderId="2" xfId="0" applyNumberFormat="1" applyFont="1" applyFill="1" applyBorder="1" applyAlignment="1" applyProtection="1">
      <alignment horizontal="left" vertical="center" wrapText="1"/>
      <protection locked="0"/>
    </xf>
    <xf numFmtId="0" fontId="4" fillId="2" borderId="2" xfId="99" applyFont="1" applyFill="1" applyBorder="1" applyAlignment="1">
      <alignment horizontal="left" vertical="center" wrapText="1"/>
    </xf>
    <xf numFmtId="176" fontId="6" fillId="2" borderId="5" xfId="44" applyNumberFormat="1" applyFont="1" applyFill="1" applyBorder="1" applyAlignment="1" applyProtection="1">
      <alignment horizontal="left" vertical="center" wrapText="1"/>
      <protection locked="0"/>
    </xf>
    <xf numFmtId="176" fontId="6" fillId="2" borderId="2" xfId="44" applyNumberFormat="1" applyFont="1" applyFill="1" applyBorder="1" applyAlignment="1" applyProtection="1">
      <alignment horizontal="left" vertical="top" wrapText="1"/>
      <protection locked="0"/>
    </xf>
    <xf numFmtId="0" fontId="5" fillId="2" borderId="2" xfId="96" applyFont="1" applyFill="1" applyBorder="1" applyAlignment="1">
      <alignment horizontal="center" vertical="center" wrapText="1"/>
    </xf>
    <xf numFmtId="49" fontId="4" fillId="2" borderId="2" xfId="99" applyNumberFormat="1" applyFont="1" applyFill="1" applyBorder="1" applyAlignment="1">
      <alignment vertical="center" wrapText="1"/>
    </xf>
    <xf numFmtId="0" fontId="4" fillId="2" borderId="2" xfId="99" applyFont="1" applyFill="1" applyBorder="1" applyAlignment="1">
      <alignment horizontal="center" vertical="center" wrapText="1"/>
    </xf>
    <xf numFmtId="0" fontId="13" fillId="2" borderId="2" xfId="0" applyFont="1" applyFill="1" applyBorder="1" applyAlignment="1">
      <alignment horizontal="left" vertical="center" wrapText="1"/>
    </xf>
    <xf numFmtId="0" fontId="14" fillId="2" borderId="2" xfId="0" applyFont="1" applyFill="1" applyBorder="1" applyAlignment="1">
      <alignment horizontal="center" vertical="center" shrinkToFit="1"/>
    </xf>
    <xf numFmtId="0" fontId="12" fillId="2" borderId="2" xfId="0" applyFont="1" applyFill="1" applyBorder="1" applyAlignment="1">
      <alignment vertical="center" wrapText="1"/>
    </xf>
    <xf numFmtId="49" fontId="13" fillId="2" borderId="2" xfId="0" applyNumberFormat="1" applyFont="1" applyFill="1" applyBorder="1" applyAlignment="1">
      <alignment vertical="center" wrapText="1"/>
    </xf>
    <xf numFmtId="0" fontId="13" fillId="2" borderId="2" xfId="0" applyFont="1" applyFill="1" applyBorder="1" applyAlignment="1">
      <alignment horizontal="center" vertical="center" wrapText="1"/>
    </xf>
    <xf numFmtId="49" fontId="8" fillId="2" borderId="2" xfId="0" applyNumberFormat="1" applyFont="1" applyFill="1" applyBorder="1" applyAlignment="1">
      <alignment vertical="center" shrinkToFit="1"/>
    </xf>
    <xf numFmtId="0" fontId="14" fillId="2" borderId="2"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1" fillId="2" borderId="2" xfId="0" applyFont="1" applyFill="1" applyBorder="1">
      <alignment vertical="center"/>
    </xf>
    <xf numFmtId="0" fontId="12" fillId="2" borderId="2" xfId="0" applyFont="1" applyFill="1" applyBorder="1" applyAlignment="1">
      <alignment horizontal="center" vertical="center" wrapText="1" shrinkToFit="1"/>
    </xf>
    <xf numFmtId="177" fontId="5" fillId="2" borderId="2" xfId="0" applyNumberFormat="1" applyFont="1" applyFill="1" applyBorder="1" applyAlignment="1">
      <alignment horizontal="left" vertical="center" wrapText="1"/>
    </xf>
    <xf numFmtId="0" fontId="5" fillId="2" borderId="2" xfId="116" applyFont="1" applyFill="1" applyBorder="1" applyAlignment="1">
      <alignment horizontal="left" vertical="center" wrapText="1"/>
    </xf>
    <xf numFmtId="177" fontId="5" fillId="2" borderId="2" xfId="57" applyNumberFormat="1" applyFont="1" applyFill="1" applyBorder="1" applyAlignment="1">
      <alignment horizontal="left" vertical="center" wrapText="1"/>
    </xf>
    <xf numFmtId="0" fontId="8"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xf>
    <xf numFmtId="0" fontId="5" fillId="2" borderId="2" xfId="14" applyFont="1" applyFill="1" applyBorder="1" applyAlignment="1">
      <alignment horizontal="left" vertical="center" wrapText="1"/>
    </xf>
    <xf numFmtId="177" fontId="5" fillId="2" borderId="2" xfId="14" applyNumberFormat="1" applyFont="1" applyFill="1" applyBorder="1" applyAlignment="1">
      <alignment horizontal="left" vertical="center" wrapText="1"/>
    </xf>
    <xf numFmtId="0" fontId="15" fillId="2" borderId="2" xfId="47" applyFont="1" applyFill="1" applyBorder="1" applyAlignment="1">
      <alignment horizontal="left" vertical="center" wrapText="1"/>
    </xf>
    <xf numFmtId="177" fontId="5" fillId="2" borderId="2" xfId="50" applyNumberFormat="1" applyFont="1" applyFill="1" applyBorder="1" applyAlignment="1">
      <alignment horizontal="left" vertical="center" wrapText="1"/>
    </xf>
    <xf numFmtId="0" fontId="5" fillId="2" borderId="2" xfId="65" applyFont="1" applyFill="1" applyBorder="1" applyAlignment="1">
      <alignment horizontal="left" vertical="center" wrapText="1"/>
    </xf>
    <xf numFmtId="0" fontId="5" fillId="2" borderId="2" xfId="65" applyFont="1" applyFill="1" applyBorder="1" applyAlignment="1">
      <alignment horizontal="left" vertical="top" wrapText="1"/>
    </xf>
    <xf numFmtId="0" fontId="5" fillId="2" borderId="2" xfId="89" applyFont="1" applyFill="1" applyBorder="1" applyAlignment="1">
      <alignment horizontal="left" vertical="center" wrapText="1"/>
    </xf>
    <xf numFmtId="0" fontId="5" fillId="2" borderId="2" xfId="89" applyFont="1" applyFill="1" applyBorder="1" applyAlignment="1">
      <alignment horizontal="left" vertical="top" wrapText="1"/>
    </xf>
    <xf numFmtId="177" fontId="5" fillId="2" borderId="2" xfId="21" applyNumberFormat="1" applyFont="1" applyFill="1" applyBorder="1" applyAlignment="1">
      <alignment horizontal="left" vertical="center" wrapText="1"/>
    </xf>
    <xf numFmtId="0" fontId="5" fillId="2" borderId="2" xfId="92" applyFont="1" applyFill="1" applyBorder="1" applyAlignment="1">
      <alignment horizontal="left" vertical="center" wrapText="1"/>
    </xf>
    <xf numFmtId="0" fontId="5" fillId="2" borderId="2" xfId="92" applyFont="1" applyFill="1" applyBorder="1" applyAlignment="1">
      <alignment horizontal="left" vertical="top" wrapText="1"/>
    </xf>
    <xf numFmtId="0" fontId="12" fillId="2" borderId="2" xfId="0" applyFont="1" applyFill="1" applyBorder="1" applyAlignment="1">
      <alignment horizontal="left" vertical="center" wrapText="1" shrinkToFit="1"/>
    </xf>
    <xf numFmtId="49" fontId="9" fillId="2" borderId="2" xfId="0" applyNumberFormat="1" applyFont="1" applyFill="1" applyBorder="1" applyAlignment="1">
      <alignment vertical="center" shrinkToFit="1"/>
    </xf>
    <xf numFmtId="0" fontId="4"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13" fillId="2" borderId="2" xfId="0" applyFont="1" applyFill="1" applyBorder="1" applyAlignment="1">
      <alignment horizontal="center" vertical="center"/>
    </xf>
    <xf numFmtId="49" fontId="14" fillId="2" borderId="2" xfId="0" applyNumberFormat="1" applyFont="1" applyFill="1" applyBorder="1" applyAlignment="1">
      <alignment vertical="center" shrinkToFit="1"/>
    </xf>
    <xf numFmtId="0" fontId="11" fillId="2" borderId="2" xfId="47"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8" fontId="1" fillId="2" borderId="2" xfId="0" applyNumberFormat="1" applyFont="1" applyFill="1" applyBorder="1" applyAlignment="1">
      <alignment horizontal="center" vertical="center" wrapText="1"/>
    </xf>
    <xf numFmtId="177" fontId="1" fillId="2" borderId="2" xfId="99" applyNumberFormat="1" applyFont="1" applyFill="1" applyBorder="1" applyAlignment="1">
      <alignment horizontal="center" vertical="center" wrapText="1"/>
    </xf>
    <xf numFmtId="177" fontId="1" fillId="2" borderId="2" xfId="0" applyNumberFormat="1" applyFont="1" applyFill="1" applyBorder="1" applyAlignment="1">
      <alignment vertical="center" wrapText="1"/>
    </xf>
    <xf numFmtId="49" fontId="8" fillId="2" borderId="2" xfId="0" applyNumberFormat="1"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5" fillId="2" borderId="2" xfId="14" applyFont="1" applyFill="1" applyBorder="1" applyAlignment="1">
      <alignment horizontal="center" vertical="center" wrapText="1"/>
    </xf>
    <xf numFmtId="0" fontId="5" fillId="2" borderId="2" xfId="116" applyFont="1" applyFill="1" applyBorder="1" applyAlignment="1">
      <alignment horizontal="center" vertical="center" wrapText="1"/>
    </xf>
    <xf numFmtId="49" fontId="1" fillId="2" borderId="2" xfId="0" applyNumberFormat="1" applyFont="1" applyFill="1" applyBorder="1">
      <alignment vertical="center"/>
    </xf>
    <xf numFmtId="176" fontId="3" fillId="2" borderId="2" xfId="0" applyNumberFormat="1" applyFont="1" applyFill="1" applyBorder="1" applyAlignment="1">
      <alignment horizontal="center" vertical="center" wrapText="1"/>
    </xf>
    <xf numFmtId="176" fontId="6" fillId="2" borderId="3" xfId="28" applyNumberFormat="1" applyFont="1" applyFill="1" applyBorder="1" applyAlignment="1" applyProtection="1">
      <alignment horizontal="left" vertical="top" wrapText="1"/>
      <protection locked="0"/>
    </xf>
    <xf numFmtId="176" fontId="9" fillId="2" borderId="5" xfId="20" applyNumberFormat="1" applyFont="1" applyFill="1" applyBorder="1" applyAlignment="1" applyProtection="1">
      <alignment horizontal="left" vertical="top" wrapText="1"/>
      <protection locked="0"/>
    </xf>
    <xf numFmtId="176" fontId="6" fillId="2" borderId="5" xfId="28" applyNumberFormat="1" applyFont="1" applyFill="1" applyBorder="1" applyAlignment="1" applyProtection="1">
      <alignment horizontal="left" vertical="top" wrapText="1"/>
      <protection locked="0"/>
    </xf>
    <xf numFmtId="176" fontId="6" fillId="2" borderId="5" xfId="44" applyNumberFormat="1" applyFont="1" applyFill="1" applyBorder="1" applyAlignment="1" applyProtection="1">
      <alignment horizontal="left" vertical="top" wrapText="1"/>
      <protection locked="0"/>
    </xf>
    <xf numFmtId="0" fontId="5" fillId="2" borderId="2" xfId="116" applyFont="1" applyFill="1" applyBorder="1" applyAlignment="1">
      <alignment horizontal="left" vertical="top" wrapText="1"/>
    </xf>
    <xf numFmtId="0" fontId="5" fillId="2" borderId="2" xfId="14" applyFont="1" applyFill="1" applyBorder="1" applyAlignment="1">
      <alignment horizontal="left" vertical="top" wrapText="1"/>
    </xf>
    <xf numFmtId="0" fontId="15" fillId="2" borderId="2" xfId="47" applyFont="1" applyFill="1" applyBorder="1" applyAlignment="1">
      <alignment horizontal="left" vertical="top" wrapText="1"/>
    </xf>
    <xf numFmtId="0" fontId="1" fillId="2" borderId="2" xfId="0" applyFont="1" applyFill="1" applyBorder="1" applyAlignment="1">
      <alignment vertical="center"/>
    </xf>
    <xf numFmtId="0" fontId="11" fillId="2" borderId="2" xfId="47" applyFont="1" applyFill="1" applyBorder="1" applyAlignment="1">
      <alignment horizontal="left" vertical="top" wrapText="1"/>
    </xf>
    <xf numFmtId="0" fontId="5" fillId="2" borderId="2" xfId="14" applyFont="1" applyFill="1" applyBorder="1" applyAlignment="1">
      <alignment horizontal="center" vertical="top" wrapText="1"/>
    </xf>
    <xf numFmtId="0" fontId="5" fillId="2" borderId="2" xfId="116" applyFont="1" applyFill="1" applyBorder="1" applyAlignment="1">
      <alignment horizontal="center" vertical="top"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8" fillId="2" borderId="2" xfId="22" applyFont="1" applyFill="1" applyBorder="1" applyAlignment="1">
      <alignment horizontal="left" vertical="center" wrapText="1"/>
    </xf>
    <xf numFmtId="176" fontId="19" fillId="2" borderId="3" xfId="28" applyNumberFormat="1" applyFont="1" applyFill="1" applyBorder="1" applyAlignment="1" applyProtection="1">
      <alignment horizontal="left" vertical="center" wrapText="1"/>
      <protection locked="0"/>
    </xf>
    <xf numFmtId="176" fontId="20" fillId="2" borderId="4" xfId="28" applyNumberFormat="1" applyFont="1" applyFill="1" applyBorder="1" applyAlignment="1" applyProtection="1">
      <alignment horizontal="left" vertical="top" wrapText="1"/>
      <protection locked="0"/>
    </xf>
    <xf numFmtId="176" fontId="21" fillId="2" borderId="5" xfId="20" applyNumberFormat="1" applyFont="1" applyFill="1" applyBorder="1" applyAlignment="1" applyProtection="1">
      <alignment horizontal="left" vertical="center" wrapText="1"/>
      <protection locked="0"/>
    </xf>
    <xf numFmtId="176" fontId="22" fillId="2" borderId="2" xfId="20" applyNumberFormat="1" applyFont="1" applyFill="1" applyBorder="1" applyAlignment="1" applyProtection="1">
      <alignment horizontal="left" vertical="top" wrapText="1"/>
      <protection locked="0"/>
    </xf>
    <xf numFmtId="0" fontId="16" fillId="2" borderId="2" xfId="99" applyFont="1" applyFill="1" applyBorder="1" applyAlignment="1">
      <alignment horizontal="center" vertical="center" wrapText="1"/>
    </xf>
    <xf numFmtId="0" fontId="16" fillId="2" borderId="2" xfId="99" applyFont="1" applyFill="1" applyBorder="1" applyAlignment="1">
      <alignment horizontal="left" vertical="center" wrapText="1"/>
    </xf>
    <xf numFmtId="176" fontId="20" fillId="2" borderId="5" xfId="45" applyNumberFormat="1" applyFont="1" applyFill="1" applyBorder="1" applyAlignment="1" applyProtection="1">
      <alignment horizontal="left" vertical="center" wrapText="1"/>
      <protection locked="0"/>
    </xf>
    <xf numFmtId="0" fontId="23" fillId="2" borderId="2" xfId="45" applyFont="1" applyFill="1" applyBorder="1" applyAlignment="1">
      <alignment horizontal="left" vertical="center" wrapText="1"/>
    </xf>
    <xf numFmtId="0" fontId="24" fillId="2" borderId="2" xfId="45" applyFont="1" applyFill="1" applyBorder="1" applyAlignment="1">
      <alignment vertical="center" wrapText="1"/>
    </xf>
    <xf numFmtId="176" fontId="19" fillId="2" borderId="5" xfId="28" applyNumberFormat="1" applyFont="1" applyFill="1" applyBorder="1" applyAlignment="1" applyProtection="1">
      <alignment horizontal="left" vertical="center" wrapText="1"/>
      <protection locked="0"/>
    </xf>
    <xf numFmtId="176" fontId="20" fillId="2" borderId="2" xfId="28" applyNumberFormat="1" applyFont="1" applyFill="1" applyBorder="1" applyAlignment="1" applyProtection="1">
      <alignment horizontal="left" vertical="top" wrapText="1"/>
      <protection locked="0"/>
    </xf>
    <xf numFmtId="0" fontId="17" fillId="2" borderId="2" xfId="96" applyFont="1" applyFill="1" applyBorder="1" applyAlignment="1">
      <alignment horizontal="left" vertical="center" wrapText="1"/>
    </xf>
    <xf numFmtId="176" fontId="18" fillId="2" borderId="2" xfId="0" applyNumberFormat="1" applyFont="1" applyFill="1" applyBorder="1" applyAlignment="1" applyProtection="1">
      <alignment horizontal="left" vertical="center" wrapText="1"/>
      <protection locked="0"/>
    </xf>
    <xf numFmtId="0" fontId="18" fillId="2" borderId="2" xfId="0" applyFont="1" applyFill="1" applyBorder="1" applyAlignment="1">
      <alignment horizontal="left" vertical="center" wrapText="1"/>
    </xf>
    <xf numFmtId="0" fontId="18" fillId="2" borderId="2" xfId="99" applyFont="1" applyFill="1" applyBorder="1" applyAlignment="1">
      <alignment horizontal="left" vertical="center" wrapText="1"/>
    </xf>
    <xf numFmtId="176" fontId="19" fillId="2" borderId="5" xfId="44" applyNumberFormat="1" applyFont="1" applyFill="1" applyBorder="1" applyAlignment="1" applyProtection="1">
      <alignment horizontal="left" vertical="center" wrapText="1"/>
      <protection locked="0"/>
    </xf>
    <xf numFmtId="176" fontId="19" fillId="2" borderId="2" xfId="44" applyNumberFormat="1" applyFont="1" applyFill="1" applyBorder="1" applyAlignment="1" applyProtection="1">
      <alignment horizontal="left" vertical="top" wrapText="1"/>
      <protection locked="0"/>
    </xf>
    <xf numFmtId="0" fontId="26" fillId="2" borderId="2" xfId="0" applyFont="1" applyFill="1" applyBorder="1" applyAlignment="1">
      <alignment horizontal="left" vertical="center" wrapText="1"/>
    </xf>
    <xf numFmtId="0" fontId="25" fillId="2" borderId="2" xfId="0" applyFont="1" applyFill="1" applyBorder="1" applyAlignment="1">
      <alignment vertical="center" wrapText="1"/>
    </xf>
    <xf numFmtId="0" fontId="26" fillId="2" borderId="2" xfId="0" applyFont="1" applyFill="1" applyBorder="1" applyAlignment="1">
      <alignment horizontal="center" vertical="center" wrapText="1"/>
    </xf>
    <xf numFmtId="177" fontId="17" fillId="2" borderId="2" xfId="0" applyNumberFormat="1" applyFont="1" applyFill="1" applyBorder="1" applyAlignment="1">
      <alignment horizontal="left" vertical="center" wrapText="1"/>
    </xf>
    <xf numFmtId="0" fontId="17" fillId="2" borderId="2" xfId="116" applyFont="1" applyFill="1" applyBorder="1" applyAlignment="1">
      <alignment horizontal="left" vertical="center" wrapText="1"/>
    </xf>
    <xf numFmtId="177" fontId="17" fillId="2" borderId="2" xfId="57" applyNumberFormat="1" applyFont="1" applyFill="1" applyBorder="1" applyAlignment="1">
      <alignment horizontal="left" vertical="center" wrapText="1"/>
    </xf>
    <xf numFmtId="0" fontId="17" fillId="2" borderId="2" xfId="14" applyFont="1" applyFill="1" applyBorder="1" applyAlignment="1">
      <alignment horizontal="left" vertical="center" wrapText="1"/>
    </xf>
    <xf numFmtId="177" fontId="17" fillId="2" borderId="2" xfId="14" applyNumberFormat="1" applyFont="1" applyFill="1" applyBorder="1" applyAlignment="1">
      <alignment horizontal="left" vertical="center" wrapText="1"/>
    </xf>
    <xf numFmtId="0" fontId="27" fillId="2" borderId="2" xfId="47" applyFont="1" applyFill="1" applyBorder="1" applyAlignment="1">
      <alignment horizontal="left" vertical="center" wrapText="1"/>
    </xf>
    <xf numFmtId="177" fontId="17" fillId="2" borderId="2" xfId="50" applyNumberFormat="1" applyFont="1" applyFill="1" applyBorder="1" applyAlignment="1">
      <alignment horizontal="left" vertical="center" wrapText="1"/>
    </xf>
    <xf numFmtId="0" fontId="17" fillId="2" borderId="2" xfId="65" applyFont="1" applyFill="1" applyBorder="1" applyAlignment="1">
      <alignment horizontal="left" vertical="center" wrapText="1"/>
    </xf>
    <xf numFmtId="0" fontId="17" fillId="2" borderId="2" xfId="65" applyFont="1" applyFill="1" applyBorder="1" applyAlignment="1">
      <alignment horizontal="left" vertical="top" wrapText="1"/>
    </xf>
    <xf numFmtId="0" fontId="17" fillId="2" borderId="2" xfId="89" applyFont="1" applyFill="1" applyBorder="1" applyAlignment="1">
      <alignment horizontal="left" vertical="center" wrapText="1"/>
    </xf>
    <xf numFmtId="0" fontId="17" fillId="2" borderId="2" xfId="89" applyFont="1" applyFill="1" applyBorder="1" applyAlignment="1">
      <alignment horizontal="left" vertical="top" wrapText="1"/>
    </xf>
    <xf numFmtId="177" fontId="17" fillId="2" borderId="2" xfId="21" applyNumberFormat="1" applyFont="1" applyFill="1" applyBorder="1" applyAlignment="1">
      <alignment horizontal="left" vertical="center" wrapText="1"/>
    </xf>
    <xf numFmtId="0" fontId="17" fillId="2" borderId="2" xfId="92" applyFont="1" applyFill="1" applyBorder="1" applyAlignment="1">
      <alignment horizontal="left" vertical="center" wrapText="1"/>
    </xf>
    <xf numFmtId="0" fontId="17" fillId="2" borderId="2" xfId="92" applyFont="1" applyFill="1" applyBorder="1" applyAlignment="1">
      <alignment horizontal="left" vertical="top" wrapText="1"/>
    </xf>
    <xf numFmtId="0" fontId="24" fillId="2" borderId="2" xfId="47" applyFont="1" applyFill="1" applyBorder="1" applyAlignment="1">
      <alignment horizontal="left" vertical="center" wrapText="1"/>
    </xf>
    <xf numFmtId="0" fontId="17" fillId="2" borderId="2" xfId="14" applyFont="1" applyFill="1" applyBorder="1" applyAlignment="1">
      <alignment horizontal="center" vertical="center" wrapText="1"/>
    </xf>
    <xf numFmtId="0" fontId="17" fillId="2" borderId="2" xfId="116" applyFont="1" applyFill="1" applyBorder="1" applyAlignment="1">
      <alignment horizontal="center" vertical="center" wrapText="1"/>
    </xf>
    <xf numFmtId="0" fontId="36" fillId="2" borderId="2" xfId="22" applyFont="1" applyFill="1" applyBorder="1" applyAlignment="1">
      <alignment horizontal="left" vertical="center" wrapText="1"/>
    </xf>
    <xf numFmtId="178" fontId="1" fillId="2" borderId="13" xfId="0" applyNumberFormat="1" applyFont="1" applyFill="1" applyBorder="1" applyAlignment="1">
      <alignment horizontal="center" vertical="center" wrapText="1"/>
    </xf>
    <xf numFmtId="0" fontId="1" fillId="2" borderId="13" xfId="99" applyFont="1" applyFill="1" applyBorder="1" applyAlignment="1">
      <alignment horizontal="center" vertical="center" wrapText="1"/>
    </xf>
    <xf numFmtId="0" fontId="1" fillId="2" borderId="9" xfId="0" applyFont="1" applyFill="1" applyBorder="1" applyAlignment="1">
      <alignment horizontal="left"/>
    </xf>
    <xf numFmtId="0" fontId="1" fillId="2" borderId="1" xfId="0" applyFont="1" applyFill="1" applyBorder="1" applyAlignment="1">
      <alignment horizontal="left"/>
    </xf>
    <xf numFmtId="0" fontId="1" fillId="2" borderId="12" xfId="0" applyFont="1" applyFill="1" applyBorder="1" applyAlignment="1">
      <alignment horizontal="left"/>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49" fontId="5" fillId="2" borderId="8"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11" xfId="0" applyNumberFormat="1" applyFont="1" applyFill="1" applyBorder="1" applyAlignment="1">
      <alignment horizontal="left" vertical="center" wrapText="1"/>
    </xf>
    <xf numFmtId="0" fontId="1" fillId="2" borderId="8" xfId="0" applyFont="1" applyFill="1" applyBorder="1" applyAlignment="1">
      <alignment horizontal="left"/>
    </xf>
    <xf numFmtId="0" fontId="1" fillId="2" borderId="0" xfId="0" applyFont="1" applyFill="1" applyBorder="1" applyAlignment="1">
      <alignment horizontal="left"/>
    </xf>
    <xf numFmtId="0" fontId="1" fillId="2" borderId="11" xfId="0" applyFont="1" applyFill="1" applyBorder="1" applyAlignment="1">
      <alignment horizontal="left"/>
    </xf>
  </cellXfs>
  <cellStyles count="150">
    <cellStyle name="常规" xfId="0" builtinId="0"/>
    <cellStyle name="常规 10" xfId="21"/>
    <cellStyle name="常规 10 2" xfId="24"/>
    <cellStyle name="常规 10 2 2" xfId="28"/>
    <cellStyle name="常规 10 3" xfId="3"/>
    <cellStyle name="常规 11" xfId="30"/>
    <cellStyle name="常规 11 2" xfId="33"/>
    <cellStyle name="常规 11 2 2" xfId="4"/>
    <cellStyle name="常规 11 3" xfId="26"/>
    <cellStyle name="常规 12" xfId="12"/>
    <cellStyle name="常规 12 2" xfId="35"/>
    <cellStyle name="常规 12 2 2" xfId="10"/>
    <cellStyle name="常规 12 3" xfId="36"/>
    <cellStyle name="常规 13" xfId="32"/>
    <cellStyle name="常规 13 2" xfId="5"/>
    <cellStyle name="常规 13 2 2" xfId="20"/>
    <cellStyle name="常规 13 3" xfId="7"/>
    <cellStyle name="常规 14" xfId="37"/>
    <cellStyle name="常规 14 2" xfId="38"/>
    <cellStyle name="常规 14 2 2" xfId="39"/>
    <cellStyle name="常规 14 3" xfId="40"/>
    <cellStyle name="常规 15" xfId="41"/>
    <cellStyle name="常规 15 2" xfId="43"/>
    <cellStyle name="常规 15 2 2" xfId="45"/>
    <cellStyle name="常规 15 3" xfId="46"/>
    <cellStyle name="常规 16" xfId="47"/>
    <cellStyle name="常规 16 2" xfId="22"/>
    <cellStyle name="常规 16 2 2" xfId="25"/>
    <cellStyle name="常规 16 2 2 2" xfId="29"/>
    <cellStyle name="常规 16 3" xfId="31"/>
    <cellStyle name="常规 16 3 2" xfId="34"/>
    <cellStyle name="常规 17" xfId="49"/>
    <cellStyle name="常规 17 2" xfId="52"/>
    <cellStyle name="常规 17 2 2" xfId="54"/>
    <cellStyle name="常规 17 3" xfId="55"/>
    <cellStyle name="常规 18" xfId="56"/>
    <cellStyle name="常规 18 2" xfId="58"/>
    <cellStyle name="常规 18 2 2" xfId="60"/>
    <cellStyle name="常规 18 3" xfId="62"/>
    <cellStyle name="常规 19" xfId="64"/>
    <cellStyle name="常规 19 2" xfId="66"/>
    <cellStyle name="常规 2" xfId="68"/>
    <cellStyle name="常规 2 2" xfId="69"/>
    <cellStyle name="常规 2 2 2" xfId="70"/>
    <cellStyle name="常规 2 2 2 2" xfId="72"/>
    <cellStyle name="常规 2 2 2 2 2" xfId="73"/>
    <cellStyle name="常规 2 2 2 3" xfId="74"/>
    <cellStyle name="常规 2 2 2 3 2" xfId="75"/>
    <cellStyle name="常规 2 2 2 4" xfId="19"/>
    <cellStyle name="常规 2 2 2 5" xfId="17"/>
    <cellStyle name="常规 2 2 3" xfId="76"/>
    <cellStyle name="常规 2 2 3 2" xfId="78"/>
    <cellStyle name="常规 2 2 3 3" xfId="79"/>
    <cellStyle name="常规 2 2 4" xfId="2"/>
    <cellStyle name="常规 2 2 4 2" xfId="80"/>
    <cellStyle name="常规 2 2 5" xfId="81"/>
    <cellStyle name="常规 2 3" xfId="82"/>
    <cellStyle name="常规 2 3 2" xfId="83"/>
    <cellStyle name="常规 2 3 2 2" xfId="27"/>
    <cellStyle name="常规 2 3 3" xfId="84"/>
    <cellStyle name="常规 2 4" xfId="85"/>
    <cellStyle name="常规 2 4 2" xfId="86"/>
    <cellStyle name="常规 2 5" xfId="87"/>
    <cellStyle name="常规 2 5 2" xfId="88"/>
    <cellStyle name="常规 20" xfId="42"/>
    <cellStyle name="常规 20 2" xfId="44"/>
    <cellStyle name="常规 21" xfId="48"/>
    <cellStyle name="常规 21 2" xfId="23"/>
    <cellStyle name="常规 22" xfId="50"/>
    <cellStyle name="常规 22 2" xfId="53"/>
    <cellStyle name="常规 23" xfId="57"/>
    <cellStyle name="常规 23 2" xfId="59"/>
    <cellStyle name="常规 23 2 2" xfId="61"/>
    <cellStyle name="常规 23 3" xfId="63"/>
    <cellStyle name="常规 24" xfId="65"/>
    <cellStyle name="常规 24 2" xfId="67"/>
    <cellStyle name="常规 25" xfId="89"/>
    <cellStyle name="常规 25 2" xfId="91"/>
    <cellStyle name="常规 26" xfId="15"/>
    <cellStyle name="常规 27" xfId="92"/>
    <cellStyle name="常规 27 2" xfId="94"/>
    <cellStyle name="常规 28" xfId="95"/>
    <cellStyle name="常规 29" xfId="97"/>
    <cellStyle name="常规 3" xfId="99"/>
    <cellStyle name="常规 3 2" xfId="100"/>
    <cellStyle name="常规 3 2 2" xfId="101"/>
    <cellStyle name="常规 3 2 2 2" xfId="102"/>
    <cellStyle name="常规 3 2 3" xfId="103"/>
    <cellStyle name="常规 3 2 3 2" xfId="104"/>
    <cellStyle name="常规 3 2 4" xfId="105"/>
    <cellStyle name="常规 3 2 5" xfId="106"/>
    <cellStyle name="常规 3 3" xfId="107"/>
    <cellStyle name="常规 3 3 2" xfId="108"/>
    <cellStyle name="常规 3 4" xfId="109"/>
    <cellStyle name="常规 3 4 2" xfId="110"/>
    <cellStyle name="常规 3 5" xfId="111"/>
    <cellStyle name="常规 30" xfId="90"/>
    <cellStyle name="常规 31" xfId="14"/>
    <cellStyle name="常规 32" xfId="93"/>
    <cellStyle name="常规 33" xfId="96"/>
    <cellStyle name="常规 34" xfId="98"/>
    <cellStyle name="常规 35" xfId="112"/>
    <cellStyle name="常规 36" xfId="114"/>
    <cellStyle name="常规 37" xfId="71"/>
    <cellStyle name="常规 38" xfId="77"/>
    <cellStyle name="常规 39" xfId="1"/>
    <cellStyle name="常规 4" xfId="115"/>
    <cellStyle name="常规 4 2" xfId="116"/>
    <cellStyle name="常规 4 2 2" xfId="117"/>
    <cellStyle name="常规 4 2 3" xfId="119"/>
    <cellStyle name="常规 4 2 3 2" xfId="121"/>
    <cellStyle name="常规 4 3" xfId="123"/>
    <cellStyle name="常规 4 3 2" xfId="124"/>
    <cellStyle name="常规 4 4" xfId="118"/>
    <cellStyle name="常规 4 5" xfId="120"/>
    <cellStyle name="常规 40" xfId="113"/>
    <cellStyle name="常规 5" xfId="126"/>
    <cellStyle name="常规 5 2" xfId="11"/>
    <cellStyle name="常规 5 2 2" xfId="13"/>
    <cellStyle name="常规 5 3" xfId="127"/>
    <cellStyle name="常规 5 3 2" xfId="128"/>
    <cellStyle name="常规 5 4" xfId="125"/>
    <cellStyle name="常规 5 5" xfId="129"/>
    <cellStyle name="常规 6" xfId="8"/>
    <cellStyle name="常规 6 2" xfId="130"/>
    <cellStyle name="常规 6 2 2" xfId="131"/>
    <cellStyle name="常规 6 3" xfId="132"/>
    <cellStyle name="常规 6 3 2" xfId="133"/>
    <cellStyle name="常规 6 4" xfId="134"/>
    <cellStyle name="常规 6 4 2" xfId="51"/>
    <cellStyle name="常规 6 5" xfId="9"/>
    <cellStyle name="常规 6 5 2" xfId="135"/>
    <cellStyle name="常规 6 6" xfId="136"/>
    <cellStyle name="常规 7" xfId="137"/>
    <cellStyle name="常规 7 2" xfId="138"/>
    <cellStyle name="常规 7 2 2" xfId="139"/>
    <cellStyle name="常规 7 3" xfId="6"/>
    <cellStyle name="常规 7 3 2" xfId="140"/>
    <cellStyle name="常规 7 4" xfId="122"/>
    <cellStyle name="常规 7 4 2" xfId="141"/>
    <cellStyle name="常规 7 5" xfId="142"/>
    <cellStyle name="常规 7 6" xfId="143"/>
    <cellStyle name="常规 8" xfId="144"/>
    <cellStyle name="常规 8 2" xfId="18"/>
    <cellStyle name="常规 8 2 2" xfId="145"/>
    <cellStyle name="常规 8 3" xfId="16"/>
    <cellStyle name="常规 9" xfId="146"/>
    <cellStyle name="常规 9 2" xfId="147"/>
    <cellStyle name="常规 9 2 2" xfId="148"/>
    <cellStyle name="常规 9 3"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1"/>
  <sheetViews>
    <sheetView tabSelected="1" view="pageBreakPreview" zoomScale="80" zoomScaleNormal="85" zoomScaleSheetLayoutView="80" workbookViewId="0">
      <selection activeCell="G9" sqref="G9"/>
    </sheetView>
  </sheetViews>
  <sheetFormatPr defaultColWidth="9" defaultRowHeight="12"/>
  <cols>
    <col min="1" max="1" width="6.625" style="3" customWidth="1"/>
    <col min="2" max="2" width="12.125" style="1" customWidth="1"/>
    <col min="3" max="3" width="5.125" style="1" customWidth="1"/>
    <col min="4" max="4" width="7.5" style="1" customWidth="1"/>
    <col min="5" max="5" width="8.25" style="1" customWidth="1"/>
    <col min="6" max="6" width="10.75" style="1" customWidth="1"/>
    <col min="7" max="7" width="40.125" style="4" customWidth="1"/>
    <col min="8" max="8" width="56.375" style="5" customWidth="1"/>
    <col min="9" max="9" width="8.125" style="6" customWidth="1"/>
    <col min="10" max="16384" width="9" style="1"/>
  </cols>
  <sheetData>
    <row r="1" spans="1:9" ht="33" customHeight="1">
      <c r="A1" s="150" t="s">
        <v>0</v>
      </c>
      <c r="B1" s="151"/>
      <c r="C1" s="151"/>
      <c r="D1" s="151"/>
      <c r="E1" s="151"/>
      <c r="F1" s="151"/>
      <c r="G1" s="151"/>
      <c r="H1" s="151"/>
      <c r="I1" s="151"/>
    </row>
    <row r="2" spans="1:9" ht="24" customHeight="1">
      <c r="A2" s="7" t="s">
        <v>1</v>
      </c>
      <c r="B2" s="8" t="s">
        <v>2</v>
      </c>
      <c r="C2" s="8" t="s">
        <v>3</v>
      </c>
      <c r="D2" s="8" t="s">
        <v>4</v>
      </c>
      <c r="E2" s="8" t="s">
        <v>5</v>
      </c>
      <c r="F2" s="8" t="s">
        <v>6</v>
      </c>
      <c r="G2" s="8" t="s">
        <v>7</v>
      </c>
      <c r="H2" s="9" t="s">
        <v>8</v>
      </c>
      <c r="I2" s="74" t="s">
        <v>9</v>
      </c>
    </row>
    <row r="3" spans="1:9" ht="186.95" customHeight="1">
      <c r="A3" s="7" t="s">
        <v>10</v>
      </c>
      <c r="B3" s="8" t="s">
        <v>11</v>
      </c>
      <c r="C3" s="8" t="s">
        <v>12</v>
      </c>
      <c r="D3" s="8">
        <v>1</v>
      </c>
      <c r="E3" s="8">
        <f>F3/D3</f>
        <v>80489</v>
      </c>
      <c r="F3" s="8">
        <v>80489</v>
      </c>
      <c r="G3" s="96" t="s">
        <v>13</v>
      </c>
      <c r="H3" s="97" t="s">
        <v>14</v>
      </c>
      <c r="I3" s="74"/>
    </row>
    <row r="4" spans="1:9" ht="20.100000000000001" customHeight="1">
      <c r="A4" s="12" t="s">
        <v>15</v>
      </c>
      <c r="B4" s="13" t="s">
        <v>16</v>
      </c>
      <c r="C4" s="14"/>
      <c r="D4" s="14"/>
      <c r="E4" s="10"/>
      <c r="F4" s="10"/>
      <c r="G4" s="98"/>
      <c r="H4" s="99"/>
      <c r="I4" s="75"/>
    </row>
    <row r="5" spans="1:9" ht="108.95" customHeight="1">
      <c r="A5" s="12" t="s">
        <v>17</v>
      </c>
      <c r="B5" s="13" t="s">
        <v>18</v>
      </c>
      <c r="C5" s="14" t="s">
        <v>19</v>
      </c>
      <c r="D5" s="17">
        <v>22054</v>
      </c>
      <c r="E5" s="10">
        <v>7.18</v>
      </c>
      <c r="F5" s="18">
        <f t="shared" ref="F5:F8" si="0">E5*D5</f>
        <v>158347.72</v>
      </c>
      <c r="G5" s="100" t="s">
        <v>20</v>
      </c>
      <c r="H5" s="100" t="s">
        <v>269</v>
      </c>
      <c r="I5" s="75"/>
    </row>
    <row r="6" spans="1:9" ht="140.25" customHeight="1">
      <c r="A6" s="12" t="s">
        <v>21</v>
      </c>
      <c r="B6" s="13" t="s">
        <v>22</v>
      </c>
      <c r="C6" s="14" t="s">
        <v>19</v>
      </c>
      <c r="D6" s="17">
        <v>22054</v>
      </c>
      <c r="E6" s="10">
        <v>10.36</v>
      </c>
      <c r="F6" s="18">
        <f t="shared" si="0"/>
        <v>228479.43999999997</v>
      </c>
      <c r="G6" s="101" t="s">
        <v>271</v>
      </c>
      <c r="H6" s="102" t="s">
        <v>270</v>
      </c>
      <c r="I6" s="75"/>
    </row>
    <row r="7" spans="1:9" ht="20.100000000000001" customHeight="1">
      <c r="A7" s="12" t="s">
        <v>25</v>
      </c>
      <c r="B7" s="13" t="s">
        <v>26</v>
      </c>
      <c r="C7" s="14"/>
      <c r="D7" s="14"/>
      <c r="E7" s="10"/>
      <c r="F7" s="18"/>
      <c r="G7" s="96"/>
      <c r="H7" s="97"/>
      <c r="I7" s="75"/>
    </row>
    <row r="8" spans="1:9" ht="95.25" customHeight="1">
      <c r="A8" s="12" t="s">
        <v>17</v>
      </c>
      <c r="B8" s="13" t="s">
        <v>27</v>
      </c>
      <c r="C8" s="14" t="s">
        <v>19</v>
      </c>
      <c r="D8" s="14">
        <v>43157</v>
      </c>
      <c r="E8" s="10">
        <v>6.89</v>
      </c>
      <c r="F8" s="18">
        <f t="shared" si="0"/>
        <v>297351.73</v>
      </c>
      <c r="G8" s="96" t="s">
        <v>28</v>
      </c>
      <c r="H8" s="97" t="s">
        <v>29</v>
      </c>
      <c r="I8" s="75"/>
    </row>
    <row r="9" spans="1:9">
      <c r="A9" s="12" t="s">
        <v>21</v>
      </c>
      <c r="B9" s="13" t="s">
        <v>30</v>
      </c>
      <c r="C9" s="14"/>
      <c r="D9" s="14"/>
      <c r="E9" s="10"/>
      <c r="F9" s="18"/>
      <c r="G9" s="96"/>
      <c r="H9" s="97"/>
      <c r="I9" s="75"/>
    </row>
    <row r="10" spans="1:9" ht="108" customHeight="1">
      <c r="A10" s="12">
        <v>-1</v>
      </c>
      <c r="B10" s="13" t="s">
        <v>31</v>
      </c>
      <c r="C10" s="14" t="s">
        <v>19</v>
      </c>
      <c r="D10" s="22">
        <v>16481</v>
      </c>
      <c r="E10" s="10">
        <v>10.71</v>
      </c>
      <c r="F10" s="18">
        <f t="shared" ref="F10:F12" si="1">E10*D10</f>
        <v>176511.51</v>
      </c>
      <c r="G10" s="103" t="s">
        <v>32</v>
      </c>
      <c r="H10" s="104" t="s">
        <v>33</v>
      </c>
      <c r="I10" s="75"/>
    </row>
    <row r="11" spans="1:9" ht="87" customHeight="1">
      <c r="A11" s="12" t="s">
        <v>35</v>
      </c>
      <c r="B11" s="13" t="s">
        <v>36</v>
      </c>
      <c r="C11" s="14" t="s">
        <v>19</v>
      </c>
      <c r="D11" s="14">
        <v>1224</v>
      </c>
      <c r="E11" s="10">
        <v>7.52</v>
      </c>
      <c r="F11" s="18">
        <f t="shared" si="1"/>
        <v>9204.48</v>
      </c>
      <c r="G11" s="105" t="s">
        <v>37</v>
      </c>
      <c r="H11" s="106" t="s">
        <v>38</v>
      </c>
      <c r="I11" s="75"/>
    </row>
    <row r="12" spans="1:9" ht="84" customHeight="1">
      <c r="A12" s="12" t="s">
        <v>39</v>
      </c>
      <c r="B12" s="13" t="s">
        <v>40</v>
      </c>
      <c r="C12" s="14" t="s">
        <v>19</v>
      </c>
      <c r="D12" s="14">
        <v>2355</v>
      </c>
      <c r="E12" s="10">
        <v>14.27</v>
      </c>
      <c r="F12" s="18">
        <f t="shared" si="1"/>
        <v>33605.85</v>
      </c>
      <c r="G12" s="105" t="s">
        <v>41</v>
      </c>
      <c r="H12" s="106" t="s">
        <v>42</v>
      </c>
      <c r="I12" s="75"/>
    </row>
    <row r="13" spans="1:9" ht="24">
      <c r="A13" s="12" t="s">
        <v>43</v>
      </c>
      <c r="B13" s="13" t="s">
        <v>44</v>
      </c>
      <c r="C13" s="14"/>
      <c r="D13" s="14"/>
      <c r="E13" s="10"/>
      <c r="F13" s="18"/>
      <c r="G13" s="96"/>
      <c r="H13" s="97"/>
      <c r="I13" s="75"/>
    </row>
    <row r="14" spans="1:9" ht="149.25" customHeight="1">
      <c r="A14" s="12" t="s">
        <v>21</v>
      </c>
      <c r="B14" s="13" t="s">
        <v>45</v>
      </c>
      <c r="C14" s="14" t="s">
        <v>19</v>
      </c>
      <c r="D14" s="22">
        <v>37204</v>
      </c>
      <c r="E14" s="14">
        <v>3.24</v>
      </c>
      <c r="F14" s="18">
        <f t="shared" ref="F14:F18" si="2">E14*D14</f>
        <v>120540.96</v>
      </c>
      <c r="G14" s="107" t="s">
        <v>46</v>
      </c>
      <c r="H14" s="108" t="s">
        <v>47</v>
      </c>
      <c r="I14" s="75"/>
    </row>
    <row r="15" spans="1:9" ht="151.5" customHeight="1">
      <c r="A15" s="12" t="s">
        <v>48</v>
      </c>
      <c r="B15" s="13" t="s">
        <v>49</v>
      </c>
      <c r="C15" s="14" t="s">
        <v>19</v>
      </c>
      <c r="D15" s="22">
        <v>17914</v>
      </c>
      <c r="E15" s="10">
        <v>4.34</v>
      </c>
      <c r="F15" s="18">
        <f t="shared" si="2"/>
        <v>77746.759999999995</v>
      </c>
      <c r="G15" s="109" t="s">
        <v>50</v>
      </c>
      <c r="H15" s="108" t="s">
        <v>51</v>
      </c>
      <c r="I15" s="75"/>
    </row>
    <row r="16" spans="1:9" ht="147.75" customHeight="1">
      <c r="A16" s="12" t="s">
        <v>52</v>
      </c>
      <c r="B16" s="13" t="s">
        <v>53</v>
      </c>
      <c r="C16" s="14" t="s">
        <v>19</v>
      </c>
      <c r="D16" s="22">
        <v>389</v>
      </c>
      <c r="E16" s="30">
        <v>10.36</v>
      </c>
      <c r="F16" s="18">
        <f t="shared" si="2"/>
        <v>4030.04</v>
      </c>
      <c r="G16" s="110" t="s">
        <v>23</v>
      </c>
      <c r="H16" s="111" t="s">
        <v>54</v>
      </c>
      <c r="I16" s="10"/>
    </row>
    <row r="17" spans="1:9" ht="113.25" customHeight="1">
      <c r="A17" s="12" t="s">
        <v>59</v>
      </c>
      <c r="B17" s="13" t="s">
        <v>60</v>
      </c>
      <c r="C17" s="14" t="s">
        <v>19</v>
      </c>
      <c r="D17" s="14">
        <v>3420.4</v>
      </c>
      <c r="E17" s="10">
        <v>10.36</v>
      </c>
      <c r="F17" s="18">
        <f t="shared" si="2"/>
        <v>35435.343999999997</v>
      </c>
      <c r="G17" s="101" t="s">
        <v>23</v>
      </c>
      <c r="H17" s="102" t="s">
        <v>61</v>
      </c>
      <c r="I17" s="10"/>
    </row>
    <row r="18" spans="1:9" ht="258.75" customHeight="1">
      <c r="A18" s="12" t="s">
        <v>62</v>
      </c>
      <c r="B18" s="13" t="s">
        <v>63</v>
      </c>
      <c r="C18" s="14" t="s">
        <v>19</v>
      </c>
      <c r="D18" s="14">
        <v>395.9</v>
      </c>
      <c r="E18" s="30">
        <v>13.55</v>
      </c>
      <c r="F18" s="18">
        <f t="shared" si="2"/>
        <v>5364.4449999999997</v>
      </c>
      <c r="G18" s="110" t="s">
        <v>57</v>
      </c>
      <c r="H18" s="111" t="s">
        <v>58</v>
      </c>
      <c r="I18" s="10"/>
    </row>
    <row r="19" spans="1:9">
      <c r="A19" s="12" t="s">
        <v>64</v>
      </c>
      <c r="B19" s="13" t="s">
        <v>65</v>
      </c>
      <c r="C19" s="14"/>
      <c r="D19" s="14"/>
      <c r="E19" s="10"/>
      <c r="F19" s="18"/>
      <c r="G19" s="96"/>
      <c r="H19" s="97"/>
      <c r="I19" s="10"/>
    </row>
    <row r="20" spans="1:9" ht="60" customHeight="1">
      <c r="A20" s="12" t="s">
        <v>66</v>
      </c>
      <c r="B20" s="13" t="s">
        <v>67</v>
      </c>
      <c r="C20" s="14" t="s">
        <v>19</v>
      </c>
      <c r="D20" s="17">
        <v>315</v>
      </c>
      <c r="E20" s="10">
        <v>41.52</v>
      </c>
      <c r="F20" s="18">
        <f t="shared" ref="F20:F24" si="3">E20*D20</f>
        <v>13078.800000000001</v>
      </c>
      <c r="G20" s="112" t="s">
        <v>68</v>
      </c>
      <c r="H20" s="106" t="s">
        <v>69</v>
      </c>
      <c r="I20" s="10"/>
    </row>
    <row r="21" spans="1:9" ht="87" customHeight="1">
      <c r="A21" s="12" t="s">
        <v>70</v>
      </c>
      <c r="B21" s="13" t="s">
        <v>71</v>
      </c>
      <c r="C21" s="14" t="s">
        <v>72</v>
      </c>
      <c r="D21" s="14">
        <v>140</v>
      </c>
      <c r="E21" s="10">
        <v>27.58</v>
      </c>
      <c r="F21" s="18">
        <f t="shared" si="3"/>
        <v>3861.2</v>
      </c>
      <c r="G21" s="113" t="s">
        <v>73</v>
      </c>
      <c r="H21" s="114" t="s">
        <v>74</v>
      </c>
      <c r="I21" s="75"/>
    </row>
    <row r="22" spans="1:9">
      <c r="A22" s="12" t="s">
        <v>75</v>
      </c>
      <c r="B22" s="13" t="s">
        <v>76</v>
      </c>
      <c r="C22" s="14"/>
      <c r="D22" s="14"/>
      <c r="E22" s="10"/>
      <c r="F22" s="18"/>
      <c r="G22" s="96"/>
      <c r="H22" s="97"/>
      <c r="I22" s="75"/>
    </row>
    <row r="23" spans="1:9" ht="66" customHeight="1">
      <c r="A23" s="12" t="s">
        <v>77</v>
      </c>
      <c r="B23" s="13" t="s">
        <v>78</v>
      </c>
      <c r="C23" s="14" t="s">
        <v>19</v>
      </c>
      <c r="D23" s="17">
        <f>99+30+342+81</f>
        <v>552</v>
      </c>
      <c r="E23" s="10">
        <v>41.52</v>
      </c>
      <c r="F23" s="18">
        <f t="shared" si="3"/>
        <v>22919.040000000001</v>
      </c>
      <c r="G23" s="115" t="s">
        <v>79</v>
      </c>
      <c r="H23" s="115" t="s">
        <v>80</v>
      </c>
      <c r="I23" s="75"/>
    </row>
    <row r="24" spans="1:9" ht="80.099999999999994" customHeight="1">
      <c r="A24" s="12" t="s">
        <v>81</v>
      </c>
      <c r="B24" s="13" t="s">
        <v>82</v>
      </c>
      <c r="C24" s="14" t="s">
        <v>19</v>
      </c>
      <c r="D24" s="17">
        <v>3611</v>
      </c>
      <c r="E24" s="10">
        <v>41.52</v>
      </c>
      <c r="F24" s="18">
        <f t="shared" si="3"/>
        <v>149928.72</v>
      </c>
      <c r="G24" s="115" t="s">
        <v>83</v>
      </c>
      <c r="H24" s="115" t="s">
        <v>80</v>
      </c>
      <c r="I24" s="75"/>
    </row>
    <row r="25" spans="1:9">
      <c r="A25" s="12" t="s">
        <v>84</v>
      </c>
      <c r="B25" s="13" t="s">
        <v>85</v>
      </c>
      <c r="C25" s="14"/>
      <c r="D25" s="14"/>
      <c r="E25" s="10"/>
      <c r="F25" s="18"/>
      <c r="G25" s="96"/>
      <c r="H25" s="97"/>
      <c r="I25" s="75"/>
    </row>
    <row r="26" spans="1:9" ht="90" customHeight="1">
      <c r="A26" s="12" t="s">
        <v>86</v>
      </c>
      <c r="B26" s="13" t="s">
        <v>87</v>
      </c>
      <c r="C26" s="14" t="s">
        <v>88</v>
      </c>
      <c r="D26" s="14">
        <v>26210</v>
      </c>
      <c r="E26" s="10">
        <v>1</v>
      </c>
      <c r="F26" s="18">
        <f t="shared" ref="F26:F32" si="4">E26*D26</f>
        <v>26210</v>
      </c>
      <c r="G26" s="116" t="s">
        <v>89</v>
      </c>
      <c r="H26" s="117" t="s">
        <v>90</v>
      </c>
      <c r="I26" s="75"/>
    </row>
    <row r="27" spans="1:9">
      <c r="A27" s="12" t="s">
        <v>94</v>
      </c>
      <c r="B27" s="13" t="s">
        <v>95</v>
      </c>
      <c r="C27" s="14"/>
      <c r="D27" s="14"/>
      <c r="E27" s="10"/>
      <c r="F27" s="18"/>
      <c r="G27" s="96"/>
      <c r="H27" s="97"/>
      <c r="I27" s="75"/>
    </row>
    <row r="28" spans="1:9" ht="91.5" customHeight="1">
      <c r="A28" s="12" t="s">
        <v>17</v>
      </c>
      <c r="B28" s="13" t="s">
        <v>96</v>
      </c>
      <c r="C28" s="14" t="s">
        <v>19</v>
      </c>
      <c r="D28" s="14">
        <f>3980*0.72</f>
        <v>2865.6</v>
      </c>
      <c r="E28" s="10">
        <v>345.13</v>
      </c>
      <c r="F28" s="18">
        <f t="shared" si="4"/>
        <v>989004.52799999993</v>
      </c>
      <c r="G28" s="100" t="s">
        <v>97</v>
      </c>
      <c r="H28" s="100" t="s">
        <v>98</v>
      </c>
      <c r="I28" s="76"/>
    </row>
    <row r="29" spans="1:9" ht="81" customHeight="1">
      <c r="A29" s="39" t="s">
        <v>99</v>
      </c>
      <c r="B29" s="40" t="s">
        <v>100</v>
      </c>
      <c r="C29" s="40" t="s">
        <v>101</v>
      </c>
      <c r="D29" s="40">
        <f>300*0.5</f>
        <v>150</v>
      </c>
      <c r="E29" s="40">
        <v>371.96</v>
      </c>
      <c r="F29" s="18">
        <f t="shared" si="4"/>
        <v>55794</v>
      </c>
      <c r="G29" s="100" t="s">
        <v>97</v>
      </c>
      <c r="H29" s="118" t="s">
        <v>102</v>
      </c>
      <c r="I29" s="25"/>
    </row>
    <row r="30" spans="1:9" ht="67.5" customHeight="1">
      <c r="A30" s="39" t="s">
        <v>21</v>
      </c>
      <c r="B30" s="40" t="s">
        <v>103</v>
      </c>
      <c r="C30" s="40" t="s">
        <v>101</v>
      </c>
      <c r="D30" s="40">
        <v>100</v>
      </c>
      <c r="E30" s="25">
        <v>371.96</v>
      </c>
      <c r="F30" s="18">
        <f t="shared" si="4"/>
        <v>37196</v>
      </c>
      <c r="G30" s="100" t="s">
        <v>97</v>
      </c>
      <c r="H30" s="118" t="s">
        <v>102</v>
      </c>
      <c r="I30" s="77"/>
    </row>
    <row r="31" spans="1:9" ht="99" customHeight="1">
      <c r="A31" s="39" t="s">
        <v>104</v>
      </c>
      <c r="B31" s="42" t="s">
        <v>105</v>
      </c>
      <c r="C31" s="42" t="s">
        <v>72</v>
      </c>
      <c r="D31" s="40">
        <v>1550</v>
      </c>
      <c r="E31" s="25">
        <v>537.55999999999995</v>
      </c>
      <c r="F31" s="18">
        <f t="shared" si="4"/>
        <v>833217.99999999988</v>
      </c>
      <c r="G31" s="114" t="s">
        <v>106</v>
      </c>
      <c r="H31" s="114" t="s">
        <v>107</v>
      </c>
      <c r="I31" s="77"/>
    </row>
    <row r="32" spans="1:9" ht="43.5" customHeight="1">
      <c r="A32" s="39" t="s">
        <v>108</v>
      </c>
      <c r="B32" s="40" t="s">
        <v>109</v>
      </c>
      <c r="C32" s="40" t="s">
        <v>19</v>
      </c>
      <c r="D32" s="40">
        <v>144</v>
      </c>
      <c r="E32" s="25">
        <v>140.04</v>
      </c>
      <c r="F32" s="18">
        <f t="shared" si="4"/>
        <v>20165.759999999998</v>
      </c>
      <c r="G32" s="119" t="s">
        <v>110</v>
      </c>
      <c r="H32" s="114" t="s">
        <v>74</v>
      </c>
      <c r="I32" s="77"/>
    </row>
    <row r="33" spans="1:9" ht="20.100000000000001" customHeight="1">
      <c r="A33" s="39" t="s">
        <v>111</v>
      </c>
      <c r="B33" s="40" t="s">
        <v>112</v>
      </c>
      <c r="C33" s="40"/>
      <c r="D33" s="40"/>
      <c r="E33" s="25"/>
      <c r="F33" s="18"/>
      <c r="G33" s="105"/>
      <c r="H33" s="106"/>
      <c r="I33" s="77"/>
    </row>
    <row r="34" spans="1:9" ht="20.100000000000001" customHeight="1">
      <c r="A34" s="39" t="s">
        <v>113</v>
      </c>
      <c r="B34" s="40" t="s">
        <v>114</v>
      </c>
      <c r="C34" s="40"/>
      <c r="D34" s="40"/>
      <c r="E34" s="25"/>
      <c r="F34" s="18"/>
      <c r="G34" s="105"/>
      <c r="H34" s="106"/>
      <c r="I34" s="77"/>
    </row>
    <row r="35" spans="1:9" ht="73.5" customHeight="1">
      <c r="A35" s="39" t="s">
        <v>115</v>
      </c>
      <c r="B35" s="40" t="s">
        <v>116</v>
      </c>
      <c r="C35" s="40" t="s">
        <v>19</v>
      </c>
      <c r="D35" s="40">
        <v>50</v>
      </c>
      <c r="E35" s="25">
        <v>549.26</v>
      </c>
      <c r="F35" s="18">
        <f>E35*D35</f>
        <v>27463</v>
      </c>
      <c r="G35" s="99" t="s">
        <v>117</v>
      </c>
      <c r="H35" s="99" t="s">
        <v>118</v>
      </c>
      <c r="I35" s="77"/>
    </row>
    <row r="36" spans="1:9" ht="72" customHeight="1">
      <c r="A36" s="39" t="s">
        <v>119</v>
      </c>
      <c r="B36" s="40" t="s">
        <v>114</v>
      </c>
      <c r="C36" s="40" t="s">
        <v>19</v>
      </c>
      <c r="D36" s="40">
        <v>991.5</v>
      </c>
      <c r="E36" s="25">
        <v>335.34</v>
      </c>
      <c r="F36" s="18">
        <f>E36*D36</f>
        <v>332489.61</v>
      </c>
      <c r="G36" s="114" t="s">
        <v>120</v>
      </c>
      <c r="H36" s="114" t="s">
        <v>121</v>
      </c>
      <c r="I36" s="77"/>
    </row>
    <row r="37" spans="1:9" ht="17.100000000000001" customHeight="1">
      <c r="A37" s="44" t="s">
        <v>122</v>
      </c>
      <c r="B37" s="45" t="s">
        <v>123</v>
      </c>
      <c r="C37" s="45"/>
      <c r="D37" s="45"/>
      <c r="E37" s="45"/>
      <c r="F37" s="18"/>
      <c r="G37" s="120"/>
      <c r="H37" s="118"/>
      <c r="I37" s="77"/>
    </row>
    <row r="38" spans="1:9" ht="96" customHeight="1">
      <c r="A38" s="44" t="s">
        <v>99</v>
      </c>
      <c r="B38" s="45" t="s">
        <v>124</v>
      </c>
      <c r="C38" s="45" t="s">
        <v>19</v>
      </c>
      <c r="D38" s="45">
        <f>636-190.8</f>
        <v>445.2</v>
      </c>
      <c r="E38" s="45">
        <v>372.89</v>
      </c>
      <c r="F38" s="18">
        <f>E38*D38</f>
        <v>166010.628</v>
      </c>
      <c r="G38" s="120" t="s">
        <v>125</v>
      </c>
      <c r="H38" s="118" t="s">
        <v>126</v>
      </c>
      <c r="I38" s="77"/>
    </row>
    <row r="39" spans="1:9" ht="96" customHeight="1">
      <c r="A39" s="44" t="s">
        <v>77</v>
      </c>
      <c r="B39" s="45" t="s">
        <v>127</v>
      </c>
      <c r="C39" s="45" t="s">
        <v>19</v>
      </c>
      <c r="D39" s="45">
        <f>D38*0.3</f>
        <v>133.56</v>
      </c>
      <c r="E39" s="45">
        <v>313.76</v>
      </c>
      <c r="F39" s="18">
        <f>E39*D39</f>
        <v>41905.785600000003</v>
      </c>
      <c r="G39" s="120" t="s">
        <v>128</v>
      </c>
      <c r="H39" s="118" t="s">
        <v>129</v>
      </c>
      <c r="I39" s="77"/>
    </row>
    <row r="40" spans="1:9" ht="17.100000000000001" customHeight="1">
      <c r="A40" s="44" t="s">
        <v>130</v>
      </c>
      <c r="B40" s="45" t="s">
        <v>131</v>
      </c>
      <c r="C40" s="45"/>
      <c r="D40" s="45"/>
      <c r="E40" s="45"/>
      <c r="F40" s="18"/>
      <c r="G40" s="120"/>
      <c r="H40" s="118"/>
      <c r="I40" s="77"/>
    </row>
    <row r="41" spans="1:9" ht="96" customHeight="1">
      <c r="A41" s="44" t="s">
        <v>99</v>
      </c>
      <c r="B41" s="45" t="s">
        <v>124</v>
      </c>
      <c r="C41" s="45" t="s">
        <v>19</v>
      </c>
      <c r="D41" s="45">
        <v>149.30000000000001</v>
      </c>
      <c r="E41" s="45">
        <v>333.32</v>
      </c>
      <c r="F41" s="18">
        <f t="shared" ref="F41:F51" si="5">E41*D41</f>
        <v>49764.675999999999</v>
      </c>
      <c r="G41" s="120" t="s">
        <v>132</v>
      </c>
      <c r="H41" s="118" t="s">
        <v>102</v>
      </c>
      <c r="I41" s="77"/>
    </row>
    <row r="42" spans="1:9" ht="24" customHeight="1">
      <c r="A42" s="46" t="s">
        <v>133</v>
      </c>
      <c r="B42" s="47" t="s">
        <v>134</v>
      </c>
      <c r="C42" s="48"/>
      <c r="D42" s="49"/>
      <c r="E42" s="10"/>
      <c r="F42" s="18"/>
      <c r="G42" s="96"/>
      <c r="H42" s="97"/>
      <c r="I42" s="75"/>
    </row>
    <row r="43" spans="1:9" ht="20.100000000000001" customHeight="1">
      <c r="A43" s="46" t="s">
        <v>99</v>
      </c>
      <c r="B43" s="50" t="s">
        <v>135</v>
      </c>
      <c r="C43" s="48"/>
      <c r="D43" s="49"/>
      <c r="E43" s="10"/>
      <c r="F43" s="18"/>
      <c r="G43" s="98"/>
      <c r="H43" s="121"/>
      <c r="I43" s="75"/>
    </row>
    <row r="44" spans="1:9" ht="106.5" customHeight="1">
      <c r="A44" s="46" t="s">
        <v>136</v>
      </c>
      <c r="B44" s="50" t="s">
        <v>137</v>
      </c>
      <c r="C44" s="48" t="s">
        <v>19</v>
      </c>
      <c r="D44" s="49">
        <v>1348.3</v>
      </c>
      <c r="E44" s="10">
        <v>9.58</v>
      </c>
      <c r="F44" s="18">
        <f t="shared" si="5"/>
        <v>12916.714</v>
      </c>
      <c r="G44" s="122" t="s">
        <v>138</v>
      </c>
      <c r="H44" s="123" t="s">
        <v>139</v>
      </c>
      <c r="I44" s="78"/>
    </row>
    <row r="45" spans="1:9" ht="75" customHeight="1">
      <c r="A45" s="46" t="s">
        <v>140</v>
      </c>
      <c r="B45" s="54" t="s">
        <v>141</v>
      </c>
      <c r="C45" s="48" t="s">
        <v>72</v>
      </c>
      <c r="D45" s="55">
        <v>113</v>
      </c>
      <c r="E45" s="10">
        <v>99.61</v>
      </c>
      <c r="F45" s="18">
        <f t="shared" si="5"/>
        <v>11255.93</v>
      </c>
      <c r="G45" s="124" t="s">
        <v>142</v>
      </c>
      <c r="H45" s="125" t="s">
        <v>143</v>
      </c>
      <c r="I45" s="78"/>
    </row>
    <row r="46" spans="1:9" ht="57" customHeight="1">
      <c r="A46" s="46" t="s">
        <v>147</v>
      </c>
      <c r="B46" s="50" t="s">
        <v>148</v>
      </c>
      <c r="C46" s="48" t="s">
        <v>19</v>
      </c>
      <c r="D46" s="55">
        <v>420.3</v>
      </c>
      <c r="E46" s="10">
        <v>128.94</v>
      </c>
      <c r="F46" s="18">
        <f t="shared" si="5"/>
        <v>54193.482000000004</v>
      </c>
      <c r="G46" s="126" t="s">
        <v>149</v>
      </c>
      <c r="H46" s="127" t="s">
        <v>150</v>
      </c>
      <c r="I46" s="78"/>
    </row>
    <row r="47" spans="1:9" ht="57.95" customHeight="1">
      <c r="A47" s="46" t="s">
        <v>151</v>
      </c>
      <c r="B47" s="54" t="s">
        <v>152</v>
      </c>
      <c r="C47" s="48" t="s">
        <v>19</v>
      </c>
      <c r="D47" s="55">
        <f>71.8+60.7+74.1+31.7</f>
        <v>238.29999999999998</v>
      </c>
      <c r="E47" s="10">
        <v>142.51</v>
      </c>
      <c r="F47" s="18">
        <f t="shared" si="5"/>
        <v>33960.132999999994</v>
      </c>
      <c r="G47" s="128" t="s">
        <v>153</v>
      </c>
      <c r="H47" s="129" t="s">
        <v>154</v>
      </c>
      <c r="I47" s="78"/>
    </row>
    <row r="48" spans="1:9" ht="70.5" customHeight="1">
      <c r="A48" s="46" t="s">
        <v>155</v>
      </c>
      <c r="B48" s="54" t="s">
        <v>156</v>
      </c>
      <c r="C48" s="48" t="s">
        <v>19</v>
      </c>
      <c r="D48" s="55">
        <f>265.9-D51-D47</f>
        <v>25.200000000000017</v>
      </c>
      <c r="E48" s="10">
        <v>354.69</v>
      </c>
      <c r="F48" s="18">
        <f t="shared" si="5"/>
        <v>8938.1880000000056</v>
      </c>
      <c r="G48" s="130" t="s">
        <v>157</v>
      </c>
      <c r="H48" s="131" t="s">
        <v>158</v>
      </c>
      <c r="I48" s="78"/>
    </row>
    <row r="49" spans="1:9" ht="69.75" customHeight="1">
      <c r="A49" s="46" t="s">
        <v>159</v>
      </c>
      <c r="B49" s="54" t="s">
        <v>160</v>
      </c>
      <c r="C49" s="48" t="s">
        <v>19</v>
      </c>
      <c r="D49" s="55">
        <v>98.7</v>
      </c>
      <c r="E49" s="10">
        <v>223.01</v>
      </c>
      <c r="F49" s="18">
        <f t="shared" si="5"/>
        <v>22011.087</v>
      </c>
      <c r="G49" s="99" t="s">
        <v>161</v>
      </c>
      <c r="H49" s="99" t="s">
        <v>162</v>
      </c>
      <c r="I49" s="78"/>
    </row>
    <row r="50" spans="1:9" ht="99.95" customHeight="1">
      <c r="A50" s="46" t="s">
        <v>163</v>
      </c>
      <c r="B50" s="50" t="s">
        <v>164</v>
      </c>
      <c r="C50" s="48" t="s">
        <v>165</v>
      </c>
      <c r="D50" s="55">
        <v>13283</v>
      </c>
      <c r="E50" s="10">
        <v>0.86</v>
      </c>
      <c r="F50" s="18">
        <f t="shared" si="5"/>
        <v>11423.38</v>
      </c>
      <c r="G50" s="122" t="s">
        <v>166</v>
      </c>
      <c r="H50" s="132" t="s">
        <v>167</v>
      </c>
      <c r="I50" s="78"/>
    </row>
    <row r="51" spans="1:9" ht="60.95" customHeight="1">
      <c r="A51" s="46" t="s">
        <v>168</v>
      </c>
      <c r="B51" s="54" t="s">
        <v>169</v>
      </c>
      <c r="C51" s="48" t="s">
        <v>19</v>
      </c>
      <c r="D51" s="55">
        <f>4*0.6</f>
        <v>2.4</v>
      </c>
      <c r="E51" s="10">
        <v>354.69</v>
      </c>
      <c r="F51" s="18">
        <f t="shared" si="5"/>
        <v>851.25599999999997</v>
      </c>
      <c r="G51" s="133" t="s">
        <v>170</v>
      </c>
      <c r="H51" s="134" t="s">
        <v>154</v>
      </c>
      <c r="I51" s="78"/>
    </row>
    <row r="52" spans="1:9" ht="24">
      <c r="A52" s="46" t="s">
        <v>171</v>
      </c>
      <c r="B52" s="67" t="s">
        <v>172</v>
      </c>
      <c r="C52" s="48"/>
      <c r="D52" s="49"/>
      <c r="E52" s="10"/>
      <c r="F52" s="18"/>
      <c r="G52" s="96"/>
      <c r="H52" s="121"/>
      <c r="I52" s="75"/>
    </row>
    <row r="53" spans="1:9" ht="95.25" customHeight="1">
      <c r="A53" s="68" t="s">
        <v>136</v>
      </c>
      <c r="B53" s="69" t="s">
        <v>173</v>
      </c>
      <c r="C53" s="70" t="s">
        <v>19</v>
      </c>
      <c r="D53" s="71">
        <f>266.9+378.1+311.4</f>
        <v>956.4</v>
      </c>
      <c r="E53" s="45">
        <v>9.58</v>
      </c>
      <c r="F53" s="18">
        <f t="shared" ref="F53:F59" si="6">E53*D53</f>
        <v>9162.3119999999999</v>
      </c>
      <c r="G53" s="122" t="s">
        <v>138</v>
      </c>
      <c r="H53" s="123" t="s">
        <v>139</v>
      </c>
      <c r="I53" s="75"/>
    </row>
    <row r="54" spans="1:9" ht="60" customHeight="1">
      <c r="A54" s="72" t="s">
        <v>140</v>
      </c>
      <c r="B54" s="50" t="s">
        <v>148</v>
      </c>
      <c r="C54" s="48" t="s">
        <v>19</v>
      </c>
      <c r="D54" s="55">
        <v>2253.8000000000002</v>
      </c>
      <c r="E54" s="10">
        <v>128.94</v>
      </c>
      <c r="F54" s="18">
        <f t="shared" si="6"/>
        <v>290604.97200000001</v>
      </c>
      <c r="G54" s="135" t="s">
        <v>174</v>
      </c>
      <c r="H54" s="127" t="s">
        <v>146</v>
      </c>
      <c r="I54" s="78"/>
    </row>
    <row r="55" spans="1:9" ht="61.5" customHeight="1">
      <c r="A55" s="46" t="s">
        <v>144</v>
      </c>
      <c r="B55" s="54" t="s">
        <v>175</v>
      </c>
      <c r="C55" s="48" t="s">
        <v>19</v>
      </c>
      <c r="D55" s="55">
        <v>65.8</v>
      </c>
      <c r="E55" s="10">
        <v>156.76</v>
      </c>
      <c r="F55" s="18">
        <f t="shared" si="6"/>
        <v>10314.807999999999</v>
      </c>
      <c r="G55" s="128" t="s">
        <v>153</v>
      </c>
      <c r="H55" s="129" t="s">
        <v>154</v>
      </c>
      <c r="I55" s="75"/>
    </row>
    <row r="56" spans="1:9" ht="68.25" customHeight="1">
      <c r="A56" s="46" t="s">
        <v>147</v>
      </c>
      <c r="B56" s="54" t="s">
        <v>176</v>
      </c>
      <c r="C56" s="48" t="s">
        <v>19</v>
      </c>
      <c r="D56" s="55">
        <v>210.3</v>
      </c>
      <c r="E56" s="10">
        <v>390.16</v>
      </c>
      <c r="F56" s="18">
        <f t="shared" si="6"/>
        <v>82050.648000000016</v>
      </c>
      <c r="G56" s="130" t="s">
        <v>157</v>
      </c>
      <c r="H56" s="131" t="s">
        <v>158</v>
      </c>
      <c r="I56" s="75"/>
    </row>
    <row r="57" spans="1:9" ht="54.75" customHeight="1">
      <c r="A57" s="46" t="s">
        <v>151</v>
      </c>
      <c r="B57" s="54" t="s">
        <v>169</v>
      </c>
      <c r="C57" s="48" t="s">
        <v>19</v>
      </c>
      <c r="D57" s="55">
        <v>3</v>
      </c>
      <c r="E57" s="10">
        <v>354.69</v>
      </c>
      <c r="F57" s="18">
        <f t="shared" si="6"/>
        <v>1064.07</v>
      </c>
      <c r="G57" s="133" t="s">
        <v>170</v>
      </c>
      <c r="H57" s="134" t="s">
        <v>154</v>
      </c>
      <c r="I57" s="75"/>
    </row>
    <row r="58" spans="1:9" ht="69.75" customHeight="1">
      <c r="A58" s="46" t="s">
        <v>155</v>
      </c>
      <c r="B58" s="54" t="s">
        <v>160</v>
      </c>
      <c r="C58" s="48" t="s">
        <v>19</v>
      </c>
      <c r="D58" s="55">
        <v>139.80000000000001</v>
      </c>
      <c r="E58" s="10">
        <v>223.01</v>
      </c>
      <c r="F58" s="18">
        <f t="shared" si="6"/>
        <v>31176.798000000003</v>
      </c>
      <c r="G58" s="99" t="s">
        <v>161</v>
      </c>
      <c r="H58" s="99" t="s">
        <v>162</v>
      </c>
      <c r="I58" s="75"/>
    </row>
    <row r="59" spans="1:9" ht="96" customHeight="1">
      <c r="A59" s="46" t="s">
        <v>159</v>
      </c>
      <c r="B59" s="50" t="s">
        <v>164</v>
      </c>
      <c r="C59" s="48" t="s">
        <v>165</v>
      </c>
      <c r="D59" s="49">
        <v>37493</v>
      </c>
      <c r="E59" s="10">
        <v>0.86</v>
      </c>
      <c r="F59" s="18">
        <f t="shared" si="6"/>
        <v>32243.98</v>
      </c>
      <c r="G59" s="122" t="s">
        <v>166</v>
      </c>
      <c r="H59" s="132" t="s">
        <v>167</v>
      </c>
      <c r="I59" s="75"/>
    </row>
    <row r="60" spans="1:9" ht="20.100000000000001" customHeight="1">
      <c r="A60" s="46" t="s">
        <v>177</v>
      </c>
      <c r="B60" s="47" t="s">
        <v>178</v>
      </c>
      <c r="C60" s="48"/>
      <c r="D60" s="49"/>
      <c r="E60" s="10"/>
      <c r="F60" s="18"/>
      <c r="G60" s="96"/>
      <c r="H60" s="97"/>
      <c r="I60" s="75"/>
    </row>
    <row r="61" spans="1:9" ht="20.100000000000001" customHeight="1">
      <c r="A61" s="46" t="s">
        <v>99</v>
      </c>
      <c r="B61" s="50" t="s">
        <v>179</v>
      </c>
      <c r="C61" s="48"/>
      <c r="D61" s="49"/>
      <c r="E61" s="10"/>
      <c r="F61" s="18"/>
      <c r="G61" s="98"/>
      <c r="H61" s="121"/>
      <c r="I61" s="75"/>
    </row>
    <row r="62" spans="1:9" ht="102" customHeight="1">
      <c r="A62" s="46" t="s">
        <v>136</v>
      </c>
      <c r="B62" s="50" t="s">
        <v>137</v>
      </c>
      <c r="C62" s="48" t="s">
        <v>19</v>
      </c>
      <c r="D62" s="49">
        <f>10.5*356.5+2*3.3*456.2+1.6*2.35*193.3+887.2*4*1.5</f>
        <v>12804.178</v>
      </c>
      <c r="E62" s="10">
        <v>16.86</v>
      </c>
      <c r="F62" s="18">
        <f t="shared" ref="F62:F68" si="7">E62*D62</f>
        <v>215878.44107999999</v>
      </c>
      <c r="G62" s="122" t="s">
        <v>180</v>
      </c>
      <c r="H62" s="123" t="s">
        <v>181</v>
      </c>
      <c r="I62" s="78"/>
    </row>
    <row r="63" spans="1:9" ht="74.25" customHeight="1">
      <c r="A63" s="46" t="s">
        <v>140</v>
      </c>
      <c r="B63" s="54" t="s">
        <v>182</v>
      </c>
      <c r="C63" s="48" t="s">
        <v>72</v>
      </c>
      <c r="D63" s="55">
        <f>40+60.1+52.4+52.4+52.4+55.8+43.4</f>
        <v>356.5</v>
      </c>
      <c r="E63" s="10">
        <v>95.92</v>
      </c>
      <c r="F63" s="18">
        <f t="shared" si="7"/>
        <v>34195.480000000003</v>
      </c>
      <c r="G63" s="124" t="s">
        <v>142</v>
      </c>
      <c r="H63" s="125" t="s">
        <v>143</v>
      </c>
      <c r="I63" s="78"/>
    </row>
    <row r="64" spans="1:9" ht="74.25" customHeight="1">
      <c r="A64" s="46" t="s">
        <v>144</v>
      </c>
      <c r="B64" s="54" t="s">
        <v>183</v>
      </c>
      <c r="C64" s="48" t="s">
        <v>72</v>
      </c>
      <c r="D64" s="55">
        <f>38.9+25.9+38.6+30.2+42.2+50+50+51.6+42.4+40.8+45.6</f>
        <v>456.20000000000005</v>
      </c>
      <c r="E64" s="10">
        <v>71.94</v>
      </c>
      <c r="F64" s="18">
        <f t="shared" si="7"/>
        <v>32819.028000000006</v>
      </c>
      <c r="G64" s="124" t="s">
        <v>142</v>
      </c>
      <c r="H64" s="125" t="s">
        <v>143</v>
      </c>
      <c r="I64" s="78"/>
    </row>
    <row r="65" spans="1:9" ht="53.1" customHeight="1">
      <c r="A65" s="46" t="s">
        <v>147</v>
      </c>
      <c r="B65" s="54" t="s">
        <v>184</v>
      </c>
      <c r="C65" s="48" t="s">
        <v>72</v>
      </c>
      <c r="D65" s="55">
        <f>25.3+7*24</f>
        <v>193.3</v>
      </c>
      <c r="E65" s="10">
        <v>120</v>
      </c>
      <c r="F65" s="18">
        <f t="shared" si="7"/>
        <v>23196</v>
      </c>
      <c r="G65" s="124" t="s">
        <v>185</v>
      </c>
      <c r="H65" s="125" t="s">
        <v>186</v>
      </c>
      <c r="I65" s="78"/>
    </row>
    <row r="66" spans="1:9" ht="66.95" customHeight="1">
      <c r="A66" s="46" t="s">
        <v>151</v>
      </c>
      <c r="B66" s="54" t="s">
        <v>187</v>
      </c>
      <c r="C66" s="48" t="s">
        <v>72</v>
      </c>
      <c r="D66" s="55">
        <f>20+30+40+39.4+37.9+37.9+37.9+38.1+40+39.3+39.7+39.9+38.8+30.5+32.7+39.7+40+40+39.9+40+30+30.4+30+30+40+30+40+35.4+26.6+31.1+40+40+40-483.5</f>
        <v>701.69999999999982</v>
      </c>
      <c r="E66" s="10">
        <v>52</v>
      </c>
      <c r="F66" s="18">
        <f t="shared" si="7"/>
        <v>36488.399999999994</v>
      </c>
      <c r="G66" s="124" t="s">
        <v>185</v>
      </c>
      <c r="H66" s="125" t="s">
        <v>186</v>
      </c>
      <c r="I66" s="78"/>
    </row>
    <row r="67" spans="1:9" ht="66" customHeight="1">
      <c r="A67" s="46" t="s">
        <v>155</v>
      </c>
      <c r="B67" s="54" t="s">
        <v>188</v>
      </c>
      <c r="C67" s="48" t="s">
        <v>72</v>
      </c>
      <c r="D67" s="55">
        <f>37.7+37.5+34.7+41.8+33.8</f>
        <v>185.5</v>
      </c>
      <c r="E67" s="10">
        <v>80</v>
      </c>
      <c r="F67" s="18">
        <f t="shared" si="7"/>
        <v>14840</v>
      </c>
      <c r="G67" s="124" t="s">
        <v>185</v>
      </c>
      <c r="H67" s="125" t="s">
        <v>186</v>
      </c>
      <c r="I67" s="78"/>
    </row>
    <row r="68" spans="1:9" ht="60" customHeight="1">
      <c r="A68" s="46" t="s">
        <v>159</v>
      </c>
      <c r="B68" s="54" t="s">
        <v>189</v>
      </c>
      <c r="C68" s="48" t="s">
        <v>72</v>
      </c>
      <c r="D68" s="55">
        <f>25.3+7*24</f>
        <v>193.3</v>
      </c>
      <c r="E68" s="10">
        <v>32</v>
      </c>
      <c r="F68" s="18">
        <f t="shared" si="7"/>
        <v>6185.6</v>
      </c>
      <c r="G68" s="124" t="s">
        <v>185</v>
      </c>
      <c r="H68" s="125" t="s">
        <v>186</v>
      </c>
      <c r="I68" s="78"/>
    </row>
    <row r="69" spans="1:9" ht="59.25" customHeight="1">
      <c r="A69" s="46" t="s">
        <v>163</v>
      </c>
      <c r="B69" s="50" t="s">
        <v>190</v>
      </c>
      <c r="C69" s="48" t="s">
        <v>19</v>
      </c>
      <c r="D69" s="55">
        <f>ROUND((0.15+0.2+1+0.5)*1.4*356.5+(0.16+0.15+0.8+0.5)*1.2*456.2+(0.15+0.05+0.6+0.5)*1*193.3,0)</f>
        <v>2056</v>
      </c>
      <c r="E69" s="10">
        <v>100</v>
      </c>
      <c r="F69" s="18">
        <f t="shared" ref="F69:F75" si="8">E69*D69</f>
        <v>205600</v>
      </c>
      <c r="G69" s="135" t="s">
        <v>191</v>
      </c>
      <c r="H69" s="127" t="s">
        <v>192</v>
      </c>
      <c r="I69" s="78"/>
    </row>
    <row r="70" spans="1:9" ht="68.099999999999994" customHeight="1">
      <c r="A70" s="46" t="s">
        <v>168</v>
      </c>
      <c r="B70" s="54" t="s">
        <v>175</v>
      </c>
      <c r="C70" s="48" t="s">
        <v>19</v>
      </c>
      <c r="D70" s="55">
        <f>ROUND((0.2+0.5)*1.6*356.5+(0.16+0.5)*1.28*456.2,0)</f>
        <v>785</v>
      </c>
      <c r="E70" s="10">
        <v>142.51</v>
      </c>
      <c r="F70" s="18">
        <f t="shared" si="8"/>
        <v>111870.34999999999</v>
      </c>
      <c r="G70" s="128" t="s">
        <v>153</v>
      </c>
      <c r="H70" s="129" t="s">
        <v>154</v>
      </c>
      <c r="I70" s="75"/>
    </row>
    <row r="71" spans="1:9" ht="20.100000000000001" customHeight="1">
      <c r="A71" s="79" t="s">
        <v>77</v>
      </c>
      <c r="B71" s="50" t="s">
        <v>193</v>
      </c>
      <c r="C71" s="80" t="s">
        <v>194</v>
      </c>
      <c r="D71" s="55">
        <v>13</v>
      </c>
      <c r="E71" s="10"/>
      <c r="F71" s="18"/>
      <c r="G71" s="124"/>
      <c r="H71" s="125"/>
      <c r="I71" s="78"/>
    </row>
    <row r="72" spans="1:9" ht="71.25" customHeight="1">
      <c r="A72" s="79" t="s">
        <v>195</v>
      </c>
      <c r="B72" s="50" t="s">
        <v>196</v>
      </c>
      <c r="C72" s="48" t="s">
        <v>19</v>
      </c>
      <c r="D72" s="55">
        <f>0.67*13</f>
        <v>8.7100000000000009</v>
      </c>
      <c r="E72" s="10">
        <v>213.77</v>
      </c>
      <c r="F72" s="18">
        <f t="shared" si="8"/>
        <v>1861.9367000000002</v>
      </c>
      <c r="G72" s="128" t="s">
        <v>153</v>
      </c>
      <c r="H72" s="129" t="s">
        <v>154</v>
      </c>
      <c r="I72" s="78"/>
    </row>
    <row r="73" spans="1:9" ht="67.5" customHeight="1">
      <c r="A73" s="79" t="s">
        <v>197</v>
      </c>
      <c r="B73" s="54" t="s">
        <v>198</v>
      </c>
      <c r="C73" s="48" t="s">
        <v>19</v>
      </c>
      <c r="D73" s="55">
        <f>1.49*13</f>
        <v>19.37</v>
      </c>
      <c r="E73" s="10">
        <v>354.69</v>
      </c>
      <c r="F73" s="18">
        <f t="shared" si="8"/>
        <v>6870.3453</v>
      </c>
      <c r="G73" s="130" t="s">
        <v>199</v>
      </c>
      <c r="H73" s="131" t="s">
        <v>158</v>
      </c>
      <c r="I73" s="78"/>
    </row>
    <row r="74" spans="1:9" ht="78.75" customHeight="1">
      <c r="A74" s="79" t="s">
        <v>200</v>
      </c>
      <c r="B74" s="50" t="s">
        <v>201</v>
      </c>
      <c r="C74" s="80" t="s">
        <v>202</v>
      </c>
      <c r="D74" s="55">
        <v>13</v>
      </c>
      <c r="E74" s="10">
        <v>299.75</v>
      </c>
      <c r="F74" s="18">
        <f t="shared" si="8"/>
        <v>3896.75</v>
      </c>
      <c r="G74" s="136" t="s">
        <v>203</v>
      </c>
      <c r="H74" s="125" t="s">
        <v>204</v>
      </c>
      <c r="I74" s="78"/>
    </row>
    <row r="75" spans="1:9" ht="89.1" customHeight="1">
      <c r="A75" s="79" t="s">
        <v>205</v>
      </c>
      <c r="B75" s="50" t="s">
        <v>206</v>
      </c>
      <c r="C75" s="80" t="s">
        <v>165</v>
      </c>
      <c r="D75" s="55">
        <f>13*223.55</f>
        <v>2906.15</v>
      </c>
      <c r="E75" s="10">
        <v>0.86</v>
      </c>
      <c r="F75" s="18">
        <f t="shared" si="8"/>
        <v>2499.2890000000002</v>
      </c>
      <c r="G75" s="122" t="s">
        <v>166</v>
      </c>
      <c r="H75" s="132" t="s">
        <v>167</v>
      </c>
      <c r="I75" s="78"/>
    </row>
    <row r="76" spans="1:9" ht="18" customHeight="1">
      <c r="A76" s="79" t="s">
        <v>35</v>
      </c>
      <c r="B76" s="50" t="s">
        <v>207</v>
      </c>
      <c r="C76" s="80" t="s">
        <v>194</v>
      </c>
      <c r="D76" s="55">
        <v>3</v>
      </c>
      <c r="E76" s="10"/>
      <c r="F76" s="18"/>
      <c r="G76" s="124"/>
      <c r="H76" s="125"/>
      <c r="I76" s="78"/>
    </row>
    <row r="77" spans="1:9" ht="56.1" customHeight="1">
      <c r="A77" s="46" t="s">
        <v>208</v>
      </c>
      <c r="B77" s="50" t="s">
        <v>196</v>
      </c>
      <c r="C77" s="48" t="s">
        <v>19</v>
      </c>
      <c r="D77" s="55">
        <f>0.905*3</f>
        <v>2.7149999999999999</v>
      </c>
      <c r="E77" s="10">
        <v>213.77</v>
      </c>
      <c r="F77" s="18">
        <f>E77*D77</f>
        <v>580.38554999999997</v>
      </c>
      <c r="G77" s="128" t="s">
        <v>153</v>
      </c>
      <c r="H77" s="129" t="s">
        <v>154</v>
      </c>
      <c r="I77" s="78"/>
    </row>
    <row r="78" spans="1:9" ht="60.95" customHeight="1">
      <c r="A78" s="46" t="s">
        <v>209</v>
      </c>
      <c r="B78" s="54" t="s">
        <v>198</v>
      </c>
      <c r="C78" s="48" t="s">
        <v>19</v>
      </c>
      <c r="D78" s="55">
        <f>1.97*3</f>
        <v>5.91</v>
      </c>
      <c r="E78" s="10">
        <v>354.69</v>
      </c>
      <c r="F78" s="18">
        <f>E78*D78</f>
        <v>2096.2179000000001</v>
      </c>
      <c r="G78" s="130" t="s">
        <v>199</v>
      </c>
      <c r="H78" s="131" t="s">
        <v>158</v>
      </c>
      <c r="I78" s="78"/>
    </row>
    <row r="79" spans="1:9" ht="78.95" customHeight="1">
      <c r="A79" s="46" t="s">
        <v>210</v>
      </c>
      <c r="B79" s="50" t="s">
        <v>201</v>
      </c>
      <c r="C79" s="80" t="s">
        <v>202</v>
      </c>
      <c r="D79" s="55">
        <v>3</v>
      </c>
      <c r="E79" s="10">
        <v>299.75</v>
      </c>
      <c r="F79" s="18">
        <f t="shared" ref="F79:F85" si="9">E79*D79</f>
        <v>899.25</v>
      </c>
      <c r="G79" s="136" t="s">
        <v>203</v>
      </c>
      <c r="H79" s="125" t="s">
        <v>204</v>
      </c>
      <c r="I79" s="78"/>
    </row>
    <row r="80" spans="1:9" ht="114" customHeight="1">
      <c r="A80" s="46" t="s">
        <v>211</v>
      </c>
      <c r="B80" s="50" t="s">
        <v>206</v>
      </c>
      <c r="C80" s="80" t="s">
        <v>165</v>
      </c>
      <c r="D80" s="49">
        <f>3*288.24</f>
        <v>864.72</v>
      </c>
      <c r="E80" s="10">
        <v>0.86</v>
      </c>
      <c r="F80" s="18">
        <f t="shared" si="9"/>
        <v>743.65920000000006</v>
      </c>
      <c r="G80" s="122" t="s">
        <v>166</v>
      </c>
      <c r="H80" s="132" t="s">
        <v>167</v>
      </c>
      <c r="I80" s="78"/>
    </row>
    <row r="81" spans="1:9" ht="30" customHeight="1">
      <c r="A81" s="46" t="s">
        <v>84</v>
      </c>
      <c r="B81" s="50" t="s">
        <v>212</v>
      </c>
      <c r="C81" s="80" t="s">
        <v>194</v>
      </c>
      <c r="D81" s="55">
        <v>5</v>
      </c>
      <c r="E81" s="10"/>
      <c r="F81" s="18"/>
      <c r="G81" s="124"/>
      <c r="H81" s="125"/>
      <c r="I81" s="78"/>
    </row>
    <row r="82" spans="1:9" ht="58.5" customHeight="1">
      <c r="A82" s="46" t="s">
        <v>213</v>
      </c>
      <c r="B82" s="50" t="s">
        <v>196</v>
      </c>
      <c r="C82" s="48" t="s">
        <v>19</v>
      </c>
      <c r="D82" s="55">
        <f>1.14*5</f>
        <v>5.6999999999999993</v>
      </c>
      <c r="E82" s="10">
        <v>213.77</v>
      </c>
      <c r="F82" s="18">
        <f t="shared" si="9"/>
        <v>1218.4889999999998</v>
      </c>
      <c r="G82" s="128" t="s">
        <v>153</v>
      </c>
      <c r="H82" s="129" t="s">
        <v>154</v>
      </c>
      <c r="I82" s="78"/>
    </row>
    <row r="83" spans="1:9" ht="69.95" customHeight="1">
      <c r="A83" s="46" t="s">
        <v>214</v>
      </c>
      <c r="B83" s="54" t="s">
        <v>198</v>
      </c>
      <c r="C83" s="48" t="s">
        <v>19</v>
      </c>
      <c r="D83" s="55">
        <f>2.52*5</f>
        <v>12.6</v>
      </c>
      <c r="E83" s="10">
        <v>354.69</v>
      </c>
      <c r="F83" s="18">
        <f t="shared" si="9"/>
        <v>4469.0940000000001</v>
      </c>
      <c r="G83" s="130" t="s">
        <v>199</v>
      </c>
      <c r="H83" s="131" t="s">
        <v>158</v>
      </c>
      <c r="I83" s="78"/>
    </row>
    <row r="84" spans="1:9" ht="68.099999999999994" customHeight="1">
      <c r="A84" s="46" t="s">
        <v>215</v>
      </c>
      <c r="B84" s="50" t="s">
        <v>201</v>
      </c>
      <c r="C84" s="80" t="s">
        <v>202</v>
      </c>
      <c r="D84" s="55">
        <v>5</v>
      </c>
      <c r="E84" s="10">
        <v>299.75</v>
      </c>
      <c r="F84" s="18">
        <f t="shared" si="9"/>
        <v>1498.75</v>
      </c>
      <c r="G84" s="136" t="s">
        <v>203</v>
      </c>
      <c r="H84" s="125" t="s">
        <v>204</v>
      </c>
      <c r="I84" s="78"/>
    </row>
    <row r="85" spans="1:9" ht="101.1" customHeight="1">
      <c r="A85" s="46" t="s">
        <v>216</v>
      </c>
      <c r="B85" s="50" t="s">
        <v>206</v>
      </c>
      <c r="C85" s="80" t="s">
        <v>165</v>
      </c>
      <c r="D85" s="49">
        <f>329.05*5</f>
        <v>1645.25</v>
      </c>
      <c r="E85" s="10">
        <v>0.86</v>
      </c>
      <c r="F85" s="18">
        <f t="shared" si="9"/>
        <v>1414.915</v>
      </c>
      <c r="G85" s="122" t="s">
        <v>166</v>
      </c>
      <c r="H85" s="132" t="s">
        <v>167</v>
      </c>
      <c r="I85" s="78"/>
    </row>
    <row r="86" spans="1:9" ht="18.95" customHeight="1">
      <c r="A86" s="46" t="s">
        <v>55</v>
      </c>
      <c r="B86" s="50" t="s">
        <v>217</v>
      </c>
      <c r="C86" s="80" t="s">
        <v>194</v>
      </c>
      <c r="D86" s="55">
        <f>7</f>
        <v>7</v>
      </c>
      <c r="E86" s="10"/>
      <c r="F86" s="18"/>
      <c r="G86" s="124"/>
      <c r="H86" s="125"/>
      <c r="I86" s="78"/>
    </row>
    <row r="87" spans="1:9" ht="60.75" customHeight="1">
      <c r="A87" s="46" t="s">
        <v>218</v>
      </c>
      <c r="B87" s="50" t="s">
        <v>196</v>
      </c>
      <c r="C87" s="48" t="s">
        <v>19</v>
      </c>
      <c r="D87" s="55">
        <f>(1.6+0.7+0.2)*0.5*(2.5)*7</f>
        <v>21.875</v>
      </c>
      <c r="E87" s="10">
        <v>142.51</v>
      </c>
      <c r="F87" s="18">
        <f t="shared" ref="F87:F90" si="10">E87*D87</f>
        <v>3117.40625</v>
      </c>
      <c r="G87" s="128" t="s">
        <v>153</v>
      </c>
      <c r="H87" s="129" t="s">
        <v>154</v>
      </c>
      <c r="I87" s="78"/>
    </row>
    <row r="88" spans="1:9" ht="67.5" customHeight="1">
      <c r="A88" s="46" t="s">
        <v>219</v>
      </c>
      <c r="B88" s="54" t="s">
        <v>198</v>
      </c>
      <c r="C88" s="48" t="s">
        <v>19</v>
      </c>
      <c r="D88" s="55">
        <f>77.7+9.58</f>
        <v>87.28</v>
      </c>
      <c r="E88" s="10">
        <v>354.69</v>
      </c>
      <c r="F88" s="18">
        <f t="shared" si="10"/>
        <v>30957.343199999999</v>
      </c>
      <c r="G88" s="130" t="s">
        <v>199</v>
      </c>
      <c r="H88" s="131" t="s">
        <v>158</v>
      </c>
      <c r="I88" s="78"/>
    </row>
    <row r="89" spans="1:9" ht="69.95" customHeight="1">
      <c r="A89" s="46" t="s">
        <v>220</v>
      </c>
      <c r="B89" s="50" t="s">
        <v>201</v>
      </c>
      <c r="C89" s="80" t="s">
        <v>202</v>
      </c>
      <c r="D89" s="55">
        <v>7</v>
      </c>
      <c r="E89" s="10">
        <v>299.75</v>
      </c>
      <c r="F89" s="18">
        <f t="shared" si="10"/>
        <v>2098.25</v>
      </c>
      <c r="G89" s="136" t="s">
        <v>203</v>
      </c>
      <c r="H89" s="125" t="s">
        <v>204</v>
      </c>
      <c r="I89" s="78"/>
    </row>
    <row r="90" spans="1:9" ht="96.95" customHeight="1">
      <c r="A90" s="46" t="s">
        <v>221</v>
      </c>
      <c r="B90" s="50" t="s">
        <v>206</v>
      </c>
      <c r="C90" s="80" t="s">
        <v>165</v>
      </c>
      <c r="D90" s="49">
        <f>428.34*7</f>
        <v>2998.3799999999997</v>
      </c>
      <c r="E90" s="10">
        <v>0.86</v>
      </c>
      <c r="F90" s="18">
        <f t="shared" si="10"/>
        <v>2578.6067999999996</v>
      </c>
      <c r="G90" s="122" t="s">
        <v>166</v>
      </c>
      <c r="H90" s="132" t="s">
        <v>167</v>
      </c>
      <c r="I90" s="78"/>
    </row>
    <row r="91" spans="1:9" ht="18.95" customHeight="1">
      <c r="A91" s="46" t="s">
        <v>222</v>
      </c>
      <c r="B91" s="50" t="s">
        <v>223</v>
      </c>
      <c r="C91" s="80" t="s">
        <v>224</v>
      </c>
      <c r="D91" s="55">
        <v>39</v>
      </c>
      <c r="E91" s="10"/>
      <c r="F91" s="18"/>
      <c r="G91" s="124"/>
      <c r="H91" s="125"/>
      <c r="I91" s="78"/>
    </row>
    <row r="92" spans="1:9" ht="75.95" customHeight="1">
      <c r="A92" s="46" t="s">
        <v>225</v>
      </c>
      <c r="B92" s="50" t="s">
        <v>226</v>
      </c>
      <c r="C92" s="80" t="s">
        <v>224</v>
      </c>
      <c r="D92" s="55">
        <v>24</v>
      </c>
      <c r="E92" s="10">
        <v>918.66</v>
      </c>
      <c r="F92" s="18">
        <f>E92*D92</f>
        <v>22047.84</v>
      </c>
      <c r="G92" s="137" t="s">
        <v>227</v>
      </c>
      <c r="H92" s="118" t="s">
        <v>228</v>
      </c>
      <c r="I92" s="78"/>
    </row>
    <row r="93" spans="1:9" ht="69" customHeight="1">
      <c r="A93" s="46" t="s">
        <v>229</v>
      </c>
      <c r="B93" s="50" t="s">
        <v>230</v>
      </c>
      <c r="C93" s="80" t="s">
        <v>224</v>
      </c>
      <c r="D93" s="55">
        <v>15</v>
      </c>
      <c r="E93" s="10">
        <v>799.34</v>
      </c>
      <c r="F93" s="18">
        <f>E93*D93</f>
        <v>11990.1</v>
      </c>
      <c r="G93" s="137" t="s">
        <v>227</v>
      </c>
      <c r="H93" s="118" t="s">
        <v>228</v>
      </c>
      <c r="I93" s="78"/>
    </row>
    <row r="94" spans="1:9" ht="24" customHeight="1">
      <c r="A94" s="83"/>
      <c r="B94" s="49"/>
      <c r="C94" s="49"/>
      <c r="D94" s="49"/>
      <c r="E94" s="10"/>
      <c r="F94" s="84">
        <f>SUM(F3:F93)</f>
        <v>5390196.7115799999</v>
      </c>
      <c r="G94" s="10"/>
      <c r="H94" s="11"/>
      <c r="I94" s="75"/>
    </row>
    <row r="95" spans="1:9" s="2" customFormat="1" ht="26.1" customHeight="1">
      <c r="A95" s="144" t="s">
        <v>231</v>
      </c>
      <c r="B95" s="145"/>
      <c r="C95" s="145"/>
      <c r="D95" s="145"/>
      <c r="E95" s="145"/>
      <c r="F95" s="145"/>
      <c r="G95" s="145"/>
      <c r="H95" s="145"/>
      <c r="I95" s="146"/>
    </row>
    <row r="96" spans="1:9" s="2" customFormat="1" ht="16.5" customHeight="1">
      <c r="A96" s="147"/>
      <c r="B96" s="148"/>
      <c r="C96" s="148"/>
      <c r="D96" s="148"/>
      <c r="E96" s="148"/>
      <c r="F96" s="148"/>
      <c r="G96" s="148"/>
      <c r="H96" s="148"/>
      <c r="I96" s="149"/>
    </row>
    <row r="97" spans="1:9" s="2" customFormat="1" ht="15.75" customHeight="1">
      <c r="A97" s="152" t="s">
        <v>232</v>
      </c>
      <c r="B97" s="153"/>
      <c r="C97" s="153"/>
      <c r="D97" s="153"/>
      <c r="E97" s="153"/>
      <c r="F97" s="153"/>
      <c r="G97" s="153"/>
      <c r="H97" s="153"/>
      <c r="I97" s="154"/>
    </row>
    <row r="98" spans="1:9" s="2" customFormat="1" ht="15.75" customHeight="1">
      <c r="A98" s="155" t="s">
        <v>233</v>
      </c>
      <c r="B98" s="156"/>
      <c r="C98" s="156"/>
      <c r="D98" s="156"/>
      <c r="E98" s="156"/>
      <c r="F98" s="156"/>
      <c r="G98" s="156"/>
      <c r="H98" s="156"/>
      <c r="I98" s="157"/>
    </row>
    <row r="99" spans="1:9" s="2" customFormat="1" ht="15.75" customHeight="1">
      <c r="A99" s="155" t="s">
        <v>234</v>
      </c>
      <c r="B99" s="156"/>
      <c r="C99" s="156"/>
      <c r="D99" s="156"/>
      <c r="E99" s="156"/>
      <c r="F99" s="156"/>
      <c r="G99" s="156"/>
      <c r="H99" s="156"/>
      <c r="I99" s="157"/>
    </row>
    <row r="100" spans="1:9" s="2" customFormat="1" ht="15.75" customHeight="1">
      <c r="A100" s="155" t="s">
        <v>235</v>
      </c>
      <c r="B100" s="156"/>
      <c r="C100" s="156"/>
      <c r="D100" s="156"/>
      <c r="E100" s="156"/>
      <c r="F100" s="156"/>
      <c r="G100" s="156"/>
      <c r="H100" s="156"/>
      <c r="I100" s="157"/>
    </row>
    <row r="101" spans="1:9" s="2" customFormat="1" ht="15.75" customHeight="1">
      <c r="A101" s="141" t="s">
        <v>236</v>
      </c>
      <c r="B101" s="142"/>
      <c r="C101" s="142"/>
      <c r="D101" s="142"/>
      <c r="E101" s="142"/>
      <c r="F101" s="142"/>
      <c r="G101" s="142"/>
      <c r="H101" s="142"/>
      <c r="I101" s="143"/>
    </row>
  </sheetData>
  <sheetProtection password="C61B" sheet="1" objects="1" scenarios="1"/>
  <mergeCells count="7">
    <mergeCell ref="A101:I101"/>
    <mergeCell ref="A95:I96"/>
    <mergeCell ref="A1:I1"/>
    <mergeCell ref="A97:I97"/>
    <mergeCell ref="A98:I98"/>
    <mergeCell ref="A99:I99"/>
    <mergeCell ref="A100:I100"/>
  </mergeCells>
  <phoneticPr fontId="38" type="noConversion"/>
  <printOptions gridLines="1"/>
  <pageMargins left="0.70069444444444495" right="0.70069444444444495" top="0.75138888888888899" bottom="1.0625" header="0.29861111111111099" footer="0.29861111111111099"/>
  <pageSetup paperSize="9" scale="85" orientation="landscape" r:id="rId1"/>
  <headerFooter>
    <oddFooter>&amp;L项目经理部：
公司工程部：                                        公司班子成员&amp;R第&amp;P页，共&amp;N页</oddFooter>
  </headerFooter>
</worksheet>
</file>

<file path=xl/worksheets/sheet2.xml><?xml version="1.0" encoding="utf-8"?>
<worksheet xmlns="http://schemas.openxmlformats.org/spreadsheetml/2006/main" xmlns:r="http://schemas.openxmlformats.org/officeDocument/2006/relationships">
  <dimension ref="A1:I103"/>
  <sheetViews>
    <sheetView topLeftCell="A67" zoomScale="85" zoomScaleNormal="85" workbookViewId="0">
      <selection activeCell="G74" sqref="G74"/>
    </sheetView>
  </sheetViews>
  <sheetFormatPr defaultColWidth="9" defaultRowHeight="12"/>
  <cols>
    <col min="1" max="1" width="7.5" style="3" customWidth="1"/>
    <col min="2" max="2" width="12.125" style="1" customWidth="1"/>
    <col min="3" max="3" width="5.125" style="1" customWidth="1"/>
    <col min="4" max="4" width="7.5" style="1" customWidth="1"/>
    <col min="5" max="5" width="8.25" style="1" customWidth="1"/>
    <col min="6" max="6" width="10.75" style="1" customWidth="1"/>
    <col min="7" max="7" width="40.125" style="1" customWidth="1"/>
    <col min="8" max="8" width="55.5" style="5" customWidth="1"/>
    <col min="9" max="9" width="8.375" style="6" customWidth="1"/>
    <col min="10" max="16384" width="9" style="1"/>
  </cols>
  <sheetData>
    <row r="1" spans="1:9" ht="36" customHeight="1">
      <c r="A1" s="150" t="s">
        <v>237</v>
      </c>
      <c r="B1" s="151"/>
      <c r="C1" s="151"/>
      <c r="D1" s="151"/>
      <c r="E1" s="151"/>
      <c r="F1" s="151"/>
      <c r="G1" s="151"/>
      <c r="H1" s="151"/>
      <c r="I1" s="151"/>
    </row>
    <row r="2" spans="1:9" ht="27" customHeight="1">
      <c r="A2" s="7" t="s">
        <v>1</v>
      </c>
      <c r="B2" s="8" t="s">
        <v>2</v>
      </c>
      <c r="C2" s="8" t="s">
        <v>3</v>
      </c>
      <c r="D2" s="8" t="s">
        <v>4</v>
      </c>
      <c r="E2" s="8" t="s">
        <v>5</v>
      </c>
      <c r="F2" s="8" t="s">
        <v>6</v>
      </c>
      <c r="G2" s="8" t="s">
        <v>7</v>
      </c>
      <c r="H2" s="9" t="s">
        <v>8</v>
      </c>
      <c r="I2" s="74" t="s">
        <v>9</v>
      </c>
    </row>
    <row r="3" spans="1:9" ht="200.25" customHeight="1">
      <c r="A3" s="7" t="s">
        <v>10</v>
      </c>
      <c r="B3" s="8" t="s">
        <v>11</v>
      </c>
      <c r="C3" s="8" t="s">
        <v>12</v>
      </c>
      <c r="D3" s="8">
        <v>1</v>
      </c>
      <c r="E3" s="8">
        <f>F3/D3</f>
        <v>100173</v>
      </c>
      <c r="F3" s="8">
        <v>100173</v>
      </c>
      <c r="G3" s="10" t="s">
        <v>13</v>
      </c>
      <c r="H3" s="11" t="s">
        <v>14</v>
      </c>
      <c r="I3" s="74"/>
    </row>
    <row r="4" spans="1:9" ht="29.1" customHeight="1">
      <c r="A4" s="12" t="s">
        <v>15</v>
      </c>
      <c r="B4" s="13" t="s">
        <v>16</v>
      </c>
      <c r="C4" s="14"/>
      <c r="D4" s="14"/>
      <c r="E4" s="10"/>
      <c r="F4" s="10"/>
      <c r="G4" s="15"/>
      <c r="H4" s="16"/>
      <c r="I4" s="75"/>
    </row>
    <row r="5" spans="1:9" ht="108" customHeight="1">
      <c r="A5" s="12" t="s">
        <v>17</v>
      </c>
      <c r="B5" s="13" t="s">
        <v>18</v>
      </c>
      <c r="C5" s="14" t="s">
        <v>19</v>
      </c>
      <c r="D5" s="17">
        <v>31756</v>
      </c>
      <c r="E5" s="10">
        <v>7.18</v>
      </c>
      <c r="F5" s="18">
        <f t="shared" ref="F5:F8" si="0">E5*D5</f>
        <v>228008.08</v>
      </c>
      <c r="G5" s="19" t="s">
        <v>20</v>
      </c>
      <c r="H5" s="138" t="s">
        <v>267</v>
      </c>
      <c r="I5" s="75"/>
    </row>
    <row r="6" spans="1:9" ht="148.5" customHeight="1">
      <c r="A6" s="12" t="s">
        <v>21</v>
      </c>
      <c r="B6" s="13" t="s">
        <v>22</v>
      </c>
      <c r="C6" s="14" t="s">
        <v>19</v>
      </c>
      <c r="D6" s="17">
        <v>31756</v>
      </c>
      <c r="E6" s="10">
        <v>10.36</v>
      </c>
      <c r="F6" s="18">
        <f t="shared" si="0"/>
        <v>328992.15999999997</v>
      </c>
      <c r="G6" s="85" t="s">
        <v>238</v>
      </c>
      <c r="H6" s="21" t="s">
        <v>24</v>
      </c>
      <c r="I6" s="75"/>
    </row>
    <row r="7" spans="1:9" ht="20.100000000000001" customHeight="1">
      <c r="A7" s="12" t="s">
        <v>25</v>
      </c>
      <c r="B7" s="13" t="s">
        <v>26</v>
      </c>
      <c r="C7" s="14"/>
      <c r="D7" s="14"/>
      <c r="E7" s="10"/>
      <c r="F7" s="18"/>
      <c r="G7" s="10"/>
      <c r="H7" s="11"/>
      <c r="I7" s="75"/>
    </row>
    <row r="8" spans="1:9" ht="100.5" customHeight="1">
      <c r="A8" s="12" t="s">
        <v>17</v>
      </c>
      <c r="B8" s="13" t="s">
        <v>27</v>
      </c>
      <c r="C8" s="14" t="s">
        <v>19</v>
      </c>
      <c r="D8" s="14">
        <v>35630</v>
      </c>
      <c r="E8" s="10">
        <v>6.89</v>
      </c>
      <c r="F8" s="18">
        <f t="shared" si="0"/>
        <v>245490.69999999998</v>
      </c>
      <c r="G8" s="10" t="s">
        <v>28</v>
      </c>
      <c r="H8" s="11" t="s">
        <v>29</v>
      </c>
      <c r="I8" s="75"/>
    </row>
    <row r="9" spans="1:9">
      <c r="A9" s="12" t="s">
        <v>21</v>
      </c>
      <c r="B9" s="13" t="s">
        <v>30</v>
      </c>
      <c r="C9" s="14"/>
      <c r="D9" s="14"/>
      <c r="E9" s="10"/>
      <c r="F9" s="18"/>
      <c r="G9" s="10"/>
      <c r="H9" s="11"/>
      <c r="I9" s="75"/>
    </row>
    <row r="10" spans="1:9" ht="113.25" customHeight="1">
      <c r="A10" s="12">
        <v>-1</v>
      </c>
      <c r="B10" s="13" t="s">
        <v>31</v>
      </c>
      <c r="C10" s="14" t="s">
        <v>19</v>
      </c>
      <c r="D10" s="22">
        <v>12877</v>
      </c>
      <c r="E10" s="10">
        <v>10.71</v>
      </c>
      <c r="F10" s="18">
        <f t="shared" ref="F10:F12" si="1">E10*D10</f>
        <v>137912.67000000001</v>
      </c>
      <c r="G10" s="86" t="s">
        <v>239</v>
      </c>
      <c r="H10" s="24" t="s">
        <v>240</v>
      </c>
      <c r="I10" s="75"/>
    </row>
    <row r="11" spans="1:9" ht="87" customHeight="1">
      <c r="A11" s="12" t="s">
        <v>35</v>
      </c>
      <c r="B11" s="13" t="s">
        <v>36</v>
      </c>
      <c r="C11" s="14" t="s">
        <v>19</v>
      </c>
      <c r="D11" s="14">
        <v>1224</v>
      </c>
      <c r="E11" s="10">
        <v>7.52</v>
      </c>
      <c r="F11" s="18">
        <f t="shared" si="1"/>
        <v>9204.48</v>
      </c>
      <c r="G11" s="25" t="s">
        <v>37</v>
      </c>
      <c r="H11" s="26" t="s">
        <v>38</v>
      </c>
      <c r="I11" s="75"/>
    </row>
    <row r="12" spans="1:9" ht="83.25" customHeight="1">
      <c r="A12" s="12" t="s">
        <v>39</v>
      </c>
      <c r="B12" s="13" t="s">
        <v>40</v>
      </c>
      <c r="C12" s="14" t="s">
        <v>19</v>
      </c>
      <c r="D12" s="14">
        <v>5784</v>
      </c>
      <c r="E12" s="10">
        <v>14.27</v>
      </c>
      <c r="F12" s="18">
        <f t="shared" si="1"/>
        <v>82537.679999999993</v>
      </c>
      <c r="G12" s="25" t="s">
        <v>41</v>
      </c>
      <c r="H12" s="26" t="s">
        <v>42</v>
      </c>
      <c r="I12" s="75"/>
    </row>
    <row r="13" spans="1:9" ht="24">
      <c r="A13" s="12" t="s">
        <v>43</v>
      </c>
      <c r="B13" s="13" t="s">
        <v>44</v>
      </c>
      <c r="C13" s="14"/>
      <c r="D13" s="14"/>
      <c r="E13" s="10"/>
      <c r="F13" s="18"/>
      <c r="G13" s="10"/>
      <c r="H13" s="11"/>
      <c r="I13" s="75"/>
    </row>
    <row r="14" spans="1:9" ht="162.94999999999999" customHeight="1">
      <c r="A14" s="12" t="s">
        <v>21</v>
      </c>
      <c r="B14" s="13" t="s">
        <v>45</v>
      </c>
      <c r="C14" s="14" t="s">
        <v>19</v>
      </c>
      <c r="D14" s="22">
        <v>30716</v>
      </c>
      <c r="E14" s="14">
        <v>3.24</v>
      </c>
      <c r="F14" s="18">
        <f t="shared" ref="F14:F19" si="2">E14*D14</f>
        <v>99519.840000000011</v>
      </c>
      <c r="G14" s="27" t="s">
        <v>242</v>
      </c>
      <c r="H14" s="28" t="s">
        <v>47</v>
      </c>
      <c r="I14" s="75"/>
    </row>
    <row r="15" spans="1:9" ht="147" customHeight="1">
      <c r="A15" s="12" t="s">
        <v>48</v>
      </c>
      <c r="B15" s="13" t="s">
        <v>49</v>
      </c>
      <c r="C15" s="14" t="s">
        <v>19</v>
      </c>
      <c r="D15" s="22">
        <v>13997</v>
      </c>
      <c r="E15" s="10">
        <v>4.34</v>
      </c>
      <c r="F15" s="18">
        <f t="shared" si="2"/>
        <v>60746.979999999996</v>
      </c>
      <c r="G15" s="29" t="s">
        <v>243</v>
      </c>
      <c r="H15" s="28" t="s">
        <v>51</v>
      </c>
      <c r="I15" s="75"/>
    </row>
    <row r="16" spans="1:9" ht="150" customHeight="1">
      <c r="A16" s="12" t="s">
        <v>52</v>
      </c>
      <c r="B16" s="13" t="s">
        <v>53</v>
      </c>
      <c r="C16" s="14" t="s">
        <v>19</v>
      </c>
      <c r="D16" s="22">
        <v>46089</v>
      </c>
      <c r="E16" s="30">
        <v>10.36</v>
      </c>
      <c r="F16" s="18">
        <f t="shared" si="2"/>
        <v>477482.04</v>
      </c>
      <c r="G16" s="87" t="s">
        <v>238</v>
      </c>
      <c r="H16" s="32" t="s">
        <v>54</v>
      </c>
      <c r="I16" s="10"/>
    </row>
    <row r="17" spans="1:9" ht="267.75" customHeight="1">
      <c r="A17" s="12" t="s">
        <v>55</v>
      </c>
      <c r="B17" s="13" t="s">
        <v>56</v>
      </c>
      <c r="C17" s="14" t="s">
        <v>19</v>
      </c>
      <c r="D17" s="14">
        <v>4573</v>
      </c>
      <c r="E17" s="30">
        <v>13.55</v>
      </c>
      <c r="F17" s="18">
        <f t="shared" si="2"/>
        <v>61964.15</v>
      </c>
      <c r="G17" s="87" t="s">
        <v>244</v>
      </c>
      <c r="H17" s="32" t="s">
        <v>245</v>
      </c>
      <c r="I17" s="10"/>
    </row>
    <row r="18" spans="1:9" ht="113.25" customHeight="1">
      <c r="A18" s="12" t="s">
        <v>59</v>
      </c>
      <c r="B18" s="13" t="s">
        <v>60</v>
      </c>
      <c r="C18" s="14" t="s">
        <v>19</v>
      </c>
      <c r="D18" s="14">
        <v>2850</v>
      </c>
      <c r="E18" s="10">
        <v>10.36</v>
      </c>
      <c r="F18" s="18">
        <f t="shared" si="2"/>
        <v>29526</v>
      </c>
      <c r="G18" s="85" t="s">
        <v>238</v>
      </c>
      <c r="H18" s="21" t="s">
        <v>61</v>
      </c>
      <c r="I18" s="10"/>
    </row>
    <row r="19" spans="1:9" ht="262.5" customHeight="1">
      <c r="A19" s="12" t="s">
        <v>62</v>
      </c>
      <c r="B19" s="13" t="s">
        <v>63</v>
      </c>
      <c r="C19" s="14" t="s">
        <v>19</v>
      </c>
      <c r="D19" s="14">
        <v>938.4</v>
      </c>
      <c r="E19" s="30">
        <v>13.55</v>
      </c>
      <c r="F19" s="18">
        <f t="shared" si="2"/>
        <v>12715.32</v>
      </c>
      <c r="G19" s="87" t="s">
        <v>244</v>
      </c>
      <c r="H19" s="32" t="s">
        <v>245</v>
      </c>
      <c r="I19" s="10"/>
    </row>
    <row r="20" spans="1:9">
      <c r="A20" s="12" t="s">
        <v>64</v>
      </c>
      <c r="B20" s="13" t="s">
        <v>65</v>
      </c>
      <c r="C20" s="14"/>
      <c r="D20" s="14"/>
      <c r="E20" s="10"/>
      <c r="F20" s="18"/>
      <c r="G20" s="10"/>
      <c r="H20" s="11"/>
      <c r="I20" s="10"/>
    </row>
    <row r="21" spans="1:9" ht="60" customHeight="1">
      <c r="A21" s="12" t="s">
        <v>66</v>
      </c>
      <c r="B21" s="13" t="s">
        <v>67</v>
      </c>
      <c r="C21" s="14" t="s">
        <v>19</v>
      </c>
      <c r="D21" s="17">
        <v>3689.3</v>
      </c>
      <c r="E21" s="10">
        <v>41.52</v>
      </c>
      <c r="F21" s="18">
        <f t="shared" ref="F21:F25" si="3">E21*D21</f>
        <v>153179.73600000003</v>
      </c>
      <c r="G21" s="33" t="s">
        <v>68</v>
      </c>
      <c r="H21" s="26" t="s">
        <v>69</v>
      </c>
      <c r="I21" s="10"/>
    </row>
    <row r="22" spans="1:9" ht="42.95" customHeight="1">
      <c r="A22" s="12" t="s">
        <v>70</v>
      </c>
      <c r="B22" s="13" t="s">
        <v>71</v>
      </c>
      <c r="C22" s="14" t="s">
        <v>72</v>
      </c>
      <c r="D22" s="14">
        <v>309</v>
      </c>
      <c r="E22" s="10">
        <v>27.58</v>
      </c>
      <c r="F22" s="18">
        <f t="shared" si="3"/>
        <v>8522.2199999999993</v>
      </c>
      <c r="G22" s="34" t="s">
        <v>73</v>
      </c>
      <c r="H22" s="13" t="s">
        <v>74</v>
      </c>
      <c r="I22" s="75"/>
    </row>
    <row r="23" spans="1:9">
      <c r="A23" s="12" t="s">
        <v>75</v>
      </c>
      <c r="B23" s="13" t="s">
        <v>76</v>
      </c>
      <c r="C23" s="14"/>
      <c r="D23" s="14"/>
      <c r="E23" s="10"/>
      <c r="F23" s="18"/>
      <c r="G23" s="10"/>
      <c r="H23" s="11"/>
      <c r="I23" s="75"/>
    </row>
    <row r="24" spans="1:9" ht="66" customHeight="1">
      <c r="A24" s="12" t="s">
        <v>77</v>
      </c>
      <c r="B24" s="13" t="s">
        <v>78</v>
      </c>
      <c r="C24" s="14" t="s">
        <v>19</v>
      </c>
      <c r="D24" s="17">
        <f>81+96+164+351+270+195+792</f>
        <v>1949</v>
      </c>
      <c r="E24" s="10">
        <v>41.52</v>
      </c>
      <c r="F24" s="18">
        <f t="shared" si="3"/>
        <v>80922.48000000001</v>
      </c>
      <c r="G24" s="35" t="s">
        <v>79</v>
      </c>
      <c r="H24" s="35" t="s">
        <v>80</v>
      </c>
      <c r="I24" s="75"/>
    </row>
    <row r="25" spans="1:9" ht="80.099999999999994" customHeight="1">
      <c r="A25" s="12" t="s">
        <v>81</v>
      </c>
      <c r="B25" s="13" t="s">
        <v>82</v>
      </c>
      <c r="C25" s="14" t="s">
        <v>19</v>
      </c>
      <c r="D25" s="17">
        <f>1300+1800+2340+1092+640</f>
        <v>7172</v>
      </c>
      <c r="E25" s="10">
        <v>41.52</v>
      </c>
      <c r="F25" s="18">
        <f t="shared" si="3"/>
        <v>297781.44</v>
      </c>
      <c r="G25" s="35" t="s">
        <v>83</v>
      </c>
      <c r="H25" s="35" t="s">
        <v>80</v>
      </c>
      <c r="I25" s="75"/>
    </row>
    <row r="26" spans="1:9">
      <c r="A26" s="12" t="s">
        <v>84</v>
      </c>
      <c r="B26" s="13" t="s">
        <v>85</v>
      </c>
      <c r="C26" s="14"/>
      <c r="D26" s="14"/>
      <c r="E26" s="10"/>
      <c r="F26" s="18"/>
      <c r="G26" s="10"/>
      <c r="H26" s="11"/>
      <c r="I26" s="75"/>
    </row>
    <row r="27" spans="1:9" ht="90" customHeight="1">
      <c r="A27" s="12" t="s">
        <v>86</v>
      </c>
      <c r="B27" s="13" t="s">
        <v>87</v>
      </c>
      <c r="C27" s="14" t="s">
        <v>88</v>
      </c>
      <c r="D27" s="14">
        <v>24068</v>
      </c>
      <c r="E27" s="10">
        <v>1</v>
      </c>
      <c r="F27" s="18">
        <f t="shared" ref="F27:F34" si="4">E27*D27</f>
        <v>24068</v>
      </c>
      <c r="G27" s="88" t="s">
        <v>246</v>
      </c>
      <c r="H27" s="37" t="s">
        <v>247</v>
      </c>
      <c r="I27" s="75"/>
    </row>
    <row r="28" spans="1:9" ht="60" customHeight="1">
      <c r="A28" s="12" t="s">
        <v>59</v>
      </c>
      <c r="B28" s="13" t="s">
        <v>91</v>
      </c>
      <c r="C28" s="14" t="s">
        <v>19</v>
      </c>
      <c r="D28" s="14">
        <v>886</v>
      </c>
      <c r="E28" s="10">
        <v>5.55</v>
      </c>
      <c r="F28" s="18">
        <f t="shared" si="4"/>
        <v>4917.3</v>
      </c>
      <c r="G28" s="38" t="s">
        <v>92</v>
      </c>
      <c r="H28" s="26" t="s">
        <v>93</v>
      </c>
      <c r="I28" s="75"/>
    </row>
    <row r="29" spans="1:9">
      <c r="A29" s="12" t="s">
        <v>94</v>
      </c>
      <c r="B29" s="13" t="s">
        <v>95</v>
      </c>
      <c r="C29" s="14"/>
      <c r="D29" s="14"/>
      <c r="E29" s="10"/>
      <c r="F29" s="18"/>
      <c r="G29" s="10"/>
      <c r="H29" s="11"/>
      <c r="I29" s="75"/>
    </row>
    <row r="30" spans="1:9" ht="91.5" customHeight="1">
      <c r="A30" s="12" t="s">
        <v>17</v>
      </c>
      <c r="B30" s="13" t="s">
        <v>96</v>
      </c>
      <c r="C30" s="14" t="s">
        <v>19</v>
      </c>
      <c r="D30" s="14">
        <f>4070*0.72</f>
        <v>2930.4</v>
      </c>
      <c r="E30" s="10">
        <v>345.13</v>
      </c>
      <c r="F30" s="18">
        <f t="shared" si="4"/>
        <v>1011368.952</v>
      </c>
      <c r="G30" s="19" t="s">
        <v>97</v>
      </c>
      <c r="H30" s="19" t="s">
        <v>98</v>
      </c>
      <c r="I30" s="76"/>
    </row>
    <row r="31" spans="1:9" ht="81" customHeight="1">
      <c r="A31" s="39" t="s">
        <v>99</v>
      </c>
      <c r="B31" s="40" t="s">
        <v>100</v>
      </c>
      <c r="C31" s="40" t="s">
        <v>101</v>
      </c>
      <c r="D31" s="40">
        <v>300</v>
      </c>
      <c r="E31" s="40">
        <v>371.96</v>
      </c>
      <c r="F31" s="18">
        <f t="shared" si="4"/>
        <v>111588</v>
      </c>
      <c r="G31" s="19" t="s">
        <v>97</v>
      </c>
      <c r="H31" s="41" t="s">
        <v>102</v>
      </c>
      <c r="I31" s="25"/>
    </row>
    <row r="32" spans="1:9" ht="67.5" customHeight="1">
      <c r="A32" s="39" t="s">
        <v>21</v>
      </c>
      <c r="B32" s="40" t="s">
        <v>103</v>
      </c>
      <c r="C32" s="40" t="s">
        <v>101</v>
      </c>
      <c r="D32" s="40">
        <v>120</v>
      </c>
      <c r="E32" s="25">
        <v>371.96</v>
      </c>
      <c r="F32" s="18">
        <f t="shared" si="4"/>
        <v>44635.199999999997</v>
      </c>
      <c r="G32" s="19" t="s">
        <v>97</v>
      </c>
      <c r="H32" s="41" t="s">
        <v>102</v>
      </c>
      <c r="I32" s="77"/>
    </row>
    <row r="33" spans="1:9" ht="99" customHeight="1">
      <c r="A33" s="39" t="s">
        <v>104</v>
      </c>
      <c r="B33" s="42" t="s">
        <v>105</v>
      </c>
      <c r="C33" s="42" t="s">
        <v>72</v>
      </c>
      <c r="D33" s="40">
        <v>680</v>
      </c>
      <c r="E33" s="25">
        <v>537.55999999999995</v>
      </c>
      <c r="F33" s="18">
        <f t="shared" si="4"/>
        <v>365540.8</v>
      </c>
      <c r="G33" s="13" t="s">
        <v>106</v>
      </c>
      <c r="H33" s="13" t="s">
        <v>107</v>
      </c>
      <c r="I33" s="77"/>
    </row>
    <row r="34" spans="1:9" ht="49.5" customHeight="1">
      <c r="A34" s="39" t="s">
        <v>108</v>
      </c>
      <c r="B34" s="40" t="s">
        <v>109</v>
      </c>
      <c r="C34" s="40" t="s">
        <v>19</v>
      </c>
      <c r="D34" s="40">
        <v>100</v>
      </c>
      <c r="E34" s="25">
        <v>140.04</v>
      </c>
      <c r="F34" s="18">
        <f t="shared" si="4"/>
        <v>14004</v>
      </c>
      <c r="G34" s="43" t="s">
        <v>110</v>
      </c>
      <c r="H34" s="13" t="s">
        <v>74</v>
      </c>
      <c r="I34" s="77"/>
    </row>
    <row r="35" spans="1:9" ht="28.5" customHeight="1">
      <c r="A35" s="39" t="s">
        <v>111</v>
      </c>
      <c r="B35" s="40" t="s">
        <v>112</v>
      </c>
      <c r="C35" s="40"/>
      <c r="D35" s="40"/>
      <c r="E35" s="25"/>
      <c r="F35" s="18"/>
      <c r="G35" s="25"/>
      <c r="H35" s="26"/>
      <c r="I35" s="77"/>
    </row>
    <row r="36" spans="1:9" ht="28.5" customHeight="1">
      <c r="A36" s="39" t="s">
        <v>113</v>
      </c>
      <c r="B36" s="40" t="s">
        <v>114</v>
      </c>
      <c r="C36" s="40"/>
      <c r="D36" s="40"/>
      <c r="E36" s="25"/>
      <c r="F36" s="18"/>
      <c r="G36" s="25"/>
      <c r="H36" s="26"/>
      <c r="I36" s="77"/>
    </row>
    <row r="37" spans="1:9" ht="65.25" customHeight="1">
      <c r="A37" s="39" t="s">
        <v>115</v>
      </c>
      <c r="B37" s="40" t="s">
        <v>116</v>
      </c>
      <c r="C37" s="40" t="s">
        <v>19</v>
      </c>
      <c r="D37" s="40">
        <v>10</v>
      </c>
      <c r="E37" s="25">
        <v>549.26</v>
      </c>
      <c r="F37" s="18">
        <f t="shared" ref="F37:F41" si="5">E37*D37</f>
        <v>5492.6</v>
      </c>
      <c r="G37" s="16" t="s">
        <v>117</v>
      </c>
      <c r="H37" s="16" t="s">
        <v>118</v>
      </c>
      <c r="I37" s="77"/>
    </row>
    <row r="38" spans="1:9" ht="63.75" customHeight="1">
      <c r="A38" s="39" t="s">
        <v>119</v>
      </c>
      <c r="B38" s="40" t="s">
        <v>114</v>
      </c>
      <c r="C38" s="40" t="s">
        <v>19</v>
      </c>
      <c r="D38" s="40">
        <f>144.2+60.4</f>
        <v>204.6</v>
      </c>
      <c r="E38" s="25">
        <v>335.34</v>
      </c>
      <c r="F38" s="18">
        <f t="shared" si="5"/>
        <v>68610.563999999998</v>
      </c>
      <c r="G38" s="13" t="s">
        <v>120</v>
      </c>
      <c r="H38" s="13" t="s">
        <v>121</v>
      </c>
      <c r="I38" s="77"/>
    </row>
    <row r="39" spans="1:9" ht="17.100000000000001" customHeight="1">
      <c r="A39" s="44" t="s">
        <v>122</v>
      </c>
      <c r="B39" s="45" t="s">
        <v>123</v>
      </c>
      <c r="C39" s="45"/>
      <c r="D39" s="45"/>
      <c r="E39" s="45"/>
      <c r="F39" s="18"/>
      <c r="G39" s="45"/>
      <c r="H39" s="41"/>
      <c r="I39" s="77"/>
    </row>
    <row r="40" spans="1:9" ht="79.5" customHeight="1">
      <c r="A40" s="44" t="s">
        <v>99</v>
      </c>
      <c r="B40" s="45" t="s">
        <v>124</v>
      </c>
      <c r="C40" s="45" t="s">
        <v>19</v>
      </c>
      <c r="D40" s="45">
        <v>646.75</v>
      </c>
      <c r="E40" s="45">
        <v>372.89</v>
      </c>
      <c r="F40" s="18">
        <f t="shared" si="5"/>
        <v>241166.60749999998</v>
      </c>
      <c r="G40" s="45" t="s">
        <v>125</v>
      </c>
      <c r="H40" s="41" t="s">
        <v>126</v>
      </c>
      <c r="I40" s="77"/>
    </row>
    <row r="41" spans="1:9" ht="81.75" customHeight="1">
      <c r="A41" s="44" t="s">
        <v>77</v>
      </c>
      <c r="B41" s="45" t="s">
        <v>127</v>
      </c>
      <c r="C41" s="45" t="s">
        <v>19</v>
      </c>
      <c r="D41" s="45">
        <f>D40*0.3</f>
        <v>194.02500000000001</v>
      </c>
      <c r="E41" s="45">
        <v>313.76</v>
      </c>
      <c r="F41" s="18">
        <f t="shared" si="5"/>
        <v>60877.284</v>
      </c>
      <c r="G41" s="45" t="s">
        <v>128</v>
      </c>
      <c r="H41" s="41" t="s">
        <v>129</v>
      </c>
      <c r="I41" s="77"/>
    </row>
    <row r="42" spans="1:9" ht="17.100000000000001" customHeight="1">
      <c r="A42" s="44" t="s">
        <v>130</v>
      </c>
      <c r="B42" s="45" t="s">
        <v>131</v>
      </c>
      <c r="C42" s="45"/>
      <c r="D42" s="45"/>
      <c r="E42" s="45"/>
      <c r="F42" s="18"/>
      <c r="G42" s="45"/>
      <c r="H42" s="41"/>
      <c r="I42" s="77"/>
    </row>
    <row r="43" spans="1:9" ht="77.25" customHeight="1">
      <c r="A43" s="44" t="s">
        <v>99</v>
      </c>
      <c r="B43" s="45" t="s">
        <v>124</v>
      </c>
      <c r="C43" s="45" t="s">
        <v>19</v>
      </c>
      <c r="D43" s="45">
        <v>272</v>
      </c>
      <c r="E43" s="45">
        <v>333.32</v>
      </c>
      <c r="F43" s="18">
        <f t="shared" ref="F43:F53" si="6">E43*D43</f>
        <v>90663.039999999994</v>
      </c>
      <c r="G43" s="45" t="s">
        <v>132</v>
      </c>
      <c r="H43" s="41" t="s">
        <v>102</v>
      </c>
      <c r="I43" s="77"/>
    </row>
    <row r="44" spans="1:9" ht="20.100000000000001" customHeight="1">
      <c r="A44" s="46" t="s">
        <v>133</v>
      </c>
      <c r="B44" s="47" t="s">
        <v>134</v>
      </c>
      <c r="C44" s="48"/>
      <c r="D44" s="49"/>
      <c r="E44" s="10"/>
      <c r="F44" s="18"/>
      <c r="G44" s="10"/>
      <c r="H44" s="11"/>
      <c r="I44" s="75"/>
    </row>
    <row r="45" spans="1:9" ht="20.100000000000001" customHeight="1">
      <c r="A45" s="46" t="s">
        <v>99</v>
      </c>
      <c r="B45" s="50" t="s">
        <v>135</v>
      </c>
      <c r="C45" s="48"/>
      <c r="D45" s="49"/>
      <c r="E45" s="10"/>
      <c r="F45" s="18"/>
      <c r="G45" s="15"/>
      <c r="H45" s="51"/>
      <c r="I45" s="75"/>
    </row>
    <row r="46" spans="1:9" ht="106.5" customHeight="1">
      <c r="A46" s="46" t="s">
        <v>136</v>
      </c>
      <c r="B46" s="50" t="s">
        <v>137</v>
      </c>
      <c r="C46" s="48" t="s">
        <v>19</v>
      </c>
      <c r="D46" s="55">
        <f>416.7+183.9</f>
        <v>600.6</v>
      </c>
      <c r="E46" s="10">
        <v>9.58</v>
      </c>
      <c r="F46" s="18">
        <f t="shared" si="6"/>
        <v>5753.7480000000005</v>
      </c>
      <c r="G46" s="89" t="s">
        <v>248</v>
      </c>
      <c r="H46" s="53" t="s">
        <v>249</v>
      </c>
      <c r="I46" s="78"/>
    </row>
    <row r="47" spans="1:9" ht="72" customHeight="1">
      <c r="A47" s="46" t="s">
        <v>140</v>
      </c>
      <c r="B47" s="54" t="s">
        <v>141</v>
      </c>
      <c r="C47" s="48" t="s">
        <v>72</v>
      </c>
      <c r="D47" s="55">
        <v>49</v>
      </c>
      <c r="E47" s="10">
        <v>99.61</v>
      </c>
      <c r="F47" s="18">
        <f t="shared" si="6"/>
        <v>4880.8900000000003</v>
      </c>
      <c r="G47" s="90" t="s">
        <v>142</v>
      </c>
      <c r="H47" s="57" t="s">
        <v>143</v>
      </c>
      <c r="I47" s="78"/>
    </row>
    <row r="48" spans="1:9" ht="57" customHeight="1">
      <c r="A48" s="46" t="s">
        <v>147</v>
      </c>
      <c r="B48" s="50" t="s">
        <v>148</v>
      </c>
      <c r="C48" s="48" t="s">
        <v>19</v>
      </c>
      <c r="D48" s="55">
        <v>900.3</v>
      </c>
      <c r="E48" s="10">
        <v>128.94</v>
      </c>
      <c r="F48" s="18">
        <f t="shared" si="6"/>
        <v>116084.68199999999</v>
      </c>
      <c r="G48" s="91" t="s">
        <v>251</v>
      </c>
      <c r="H48" s="59" t="s">
        <v>150</v>
      </c>
      <c r="I48" s="78"/>
    </row>
    <row r="49" spans="1:9" ht="66.75" customHeight="1">
      <c r="A49" s="46" t="s">
        <v>151</v>
      </c>
      <c r="B49" s="54" t="s">
        <v>152</v>
      </c>
      <c r="C49" s="48" t="s">
        <v>19</v>
      </c>
      <c r="D49" s="55">
        <f>31.7+74.1</f>
        <v>105.8</v>
      </c>
      <c r="E49" s="10">
        <v>142.51</v>
      </c>
      <c r="F49" s="18">
        <f t="shared" si="6"/>
        <v>15077.557999999999</v>
      </c>
      <c r="G49" s="61" t="s">
        <v>153</v>
      </c>
      <c r="H49" s="61" t="s">
        <v>154</v>
      </c>
      <c r="I49" s="78"/>
    </row>
    <row r="50" spans="1:9" ht="69.75" customHeight="1">
      <c r="A50" s="46" t="s">
        <v>155</v>
      </c>
      <c r="B50" s="54" t="s">
        <v>156</v>
      </c>
      <c r="C50" s="48" t="s">
        <v>19</v>
      </c>
      <c r="D50" s="92">
        <v>0</v>
      </c>
      <c r="E50" s="10">
        <v>354.69</v>
      </c>
      <c r="F50" s="18">
        <f t="shared" si="6"/>
        <v>0</v>
      </c>
      <c r="G50" s="63" t="s">
        <v>157</v>
      </c>
      <c r="H50" s="63" t="s">
        <v>158</v>
      </c>
      <c r="I50" s="78"/>
    </row>
    <row r="51" spans="1:9" ht="69" customHeight="1">
      <c r="A51" s="46" t="s">
        <v>159</v>
      </c>
      <c r="B51" s="54" t="s">
        <v>160</v>
      </c>
      <c r="C51" s="48" t="s">
        <v>19</v>
      </c>
      <c r="D51" s="55">
        <v>42.3</v>
      </c>
      <c r="E51" s="10">
        <v>223.01</v>
      </c>
      <c r="F51" s="18">
        <f t="shared" si="6"/>
        <v>9433.3229999999985</v>
      </c>
      <c r="G51" s="16" t="s">
        <v>161</v>
      </c>
      <c r="H51" s="16" t="s">
        <v>162</v>
      </c>
      <c r="I51" s="78"/>
    </row>
    <row r="52" spans="1:9" ht="101.25" customHeight="1">
      <c r="A52" s="46" t="s">
        <v>163</v>
      </c>
      <c r="B52" s="50" t="s">
        <v>164</v>
      </c>
      <c r="C52" s="48" t="s">
        <v>165</v>
      </c>
      <c r="D52" s="49">
        <v>16531</v>
      </c>
      <c r="E52" s="10">
        <v>0.86</v>
      </c>
      <c r="F52" s="18">
        <f t="shared" si="6"/>
        <v>14216.66</v>
      </c>
      <c r="G52" s="89" t="s">
        <v>166</v>
      </c>
      <c r="H52" s="64" t="s">
        <v>167</v>
      </c>
      <c r="I52" s="78"/>
    </row>
    <row r="53" spans="1:9" ht="64.5" customHeight="1">
      <c r="A53" s="46" t="s">
        <v>168</v>
      </c>
      <c r="B53" s="54" t="s">
        <v>169</v>
      </c>
      <c r="C53" s="48" t="s">
        <v>19</v>
      </c>
      <c r="D53" s="49">
        <v>1.2</v>
      </c>
      <c r="E53" s="10">
        <v>354.69</v>
      </c>
      <c r="F53" s="18">
        <f t="shared" si="6"/>
        <v>425.62799999999999</v>
      </c>
      <c r="G53" s="66" t="s">
        <v>170</v>
      </c>
      <c r="H53" s="66" t="s">
        <v>154</v>
      </c>
      <c r="I53" s="78"/>
    </row>
    <row r="54" spans="1:9" ht="24">
      <c r="A54" s="46" t="s">
        <v>171</v>
      </c>
      <c r="B54" s="67" t="s">
        <v>172</v>
      </c>
      <c r="C54" s="48"/>
      <c r="D54" s="49"/>
      <c r="E54" s="10"/>
      <c r="F54" s="18"/>
      <c r="G54" s="10"/>
      <c r="H54" s="51"/>
      <c r="I54" s="75"/>
    </row>
    <row r="55" spans="1:9" ht="100.5" customHeight="1">
      <c r="A55" s="68" t="s">
        <v>136</v>
      </c>
      <c r="B55" s="69" t="s">
        <v>173</v>
      </c>
      <c r="C55" s="70" t="s">
        <v>19</v>
      </c>
      <c r="D55" s="71">
        <f>467+446.1+474+355.8+362.4+289.1</f>
        <v>2394.3999999999996</v>
      </c>
      <c r="E55" s="45">
        <v>9.58</v>
      </c>
      <c r="F55" s="18">
        <f t="shared" ref="F55:F61" si="7">E55*D55</f>
        <v>22938.351999999995</v>
      </c>
      <c r="G55" s="89" t="s">
        <v>248</v>
      </c>
      <c r="H55" s="53" t="s">
        <v>249</v>
      </c>
      <c r="I55" s="75"/>
    </row>
    <row r="56" spans="1:9" ht="59.25" customHeight="1">
      <c r="A56" s="72" t="s">
        <v>140</v>
      </c>
      <c r="B56" s="50" t="s">
        <v>148</v>
      </c>
      <c r="C56" s="48" t="s">
        <v>19</v>
      </c>
      <c r="D56" s="55">
        <v>3528</v>
      </c>
      <c r="E56" s="10">
        <v>128.94</v>
      </c>
      <c r="F56" s="18">
        <f t="shared" si="7"/>
        <v>454900.32</v>
      </c>
      <c r="G56" s="93" t="s">
        <v>252</v>
      </c>
      <c r="H56" s="59" t="s">
        <v>146</v>
      </c>
      <c r="I56" s="78"/>
    </row>
    <row r="57" spans="1:9" ht="59.25" customHeight="1">
      <c r="A57" s="46" t="s">
        <v>144</v>
      </c>
      <c r="B57" s="54" t="s">
        <v>175</v>
      </c>
      <c r="C57" s="48" t="s">
        <v>19</v>
      </c>
      <c r="D57" s="55">
        <v>177.2</v>
      </c>
      <c r="E57" s="10">
        <v>156.76</v>
      </c>
      <c r="F57" s="18">
        <f t="shared" si="7"/>
        <v>27777.871999999996</v>
      </c>
      <c r="G57" s="61" t="s">
        <v>153</v>
      </c>
      <c r="H57" s="61" t="s">
        <v>154</v>
      </c>
      <c r="I57" s="75"/>
    </row>
    <row r="58" spans="1:9" ht="69.75" customHeight="1">
      <c r="A58" s="46" t="s">
        <v>147</v>
      </c>
      <c r="B58" s="54" t="s">
        <v>176</v>
      </c>
      <c r="C58" s="48" t="s">
        <v>19</v>
      </c>
      <c r="D58" s="55">
        <v>622.20000000000005</v>
      </c>
      <c r="E58" s="10">
        <v>390.16</v>
      </c>
      <c r="F58" s="18">
        <f t="shared" si="7"/>
        <v>242757.55200000003</v>
      </c>
      <c r="G58" s="63" t="s">
        <v>157</v>
      </c>
      <c r="H58" s="63" t="s">
        <v>158</v>
      </c>
      <c r="I58" s="75"/>
    </row>
    <row r="59" spans="1:9" ht="63" customHeight="1">
      <c r="A59" s="46" t="s">
        <v>151</v>
      </c>
      <c r="B59" s="54" t="s">
        <v>169</v>
      </c>
      <c r="C59" s="48" t="s">
        <v>19</v>
      </c>
      <c r="D59" s="49">
        <v>6</v>
      </c>
      <c r="E59" s="10">
        <v>354.69</v>
      </c>
      <c r="F59" s="18">
        <f t="shared" si="7"/>
        <v>2128.14</v>
      </c>
      <c r="G59" s="66" t="s">
        <v>170</v>
      </c>
      <c r="H59" s="66" t="s">
        <v>154</v>
      </c>
      <c r="I59" s="75"/>
    </row>
    <row r="60" spans="1:9" ht="76.5" customHeight="1">
      <c r="A60" s="46" t="s">
        <v>155</v>
      </c>
      <c r="B60" s="54" t="s">
        <v>160</v>
      </c>
      <c r="C60" s="48" t="s">
        <v>19</v>
      </c>
      <c r="D60" s="55">
        <v>309.89999999999998</v>
      </c>
      <c r="E60" s="10">
        <v>223.01</v>
      </c>
      <c r="F60" s="18">
        <f t="shared" si="7"/>
        <v>69110.798999999999</v>
      </c>
      <c r="G60" s="16" t="s">
        <v>161</v>
      </c>
      <c r="H60" s="16" t="s">
        <v>162</v>
      </c>
      <c r="I60" s="75"/>
    </row>
    <row r="61" spans="1:9" ht="99.75" customHeight="1">
      <c r="A61" s="46" t="s">
        <v>159</v>
      </c>
      <c r="B61" s="50" t="s">
        <v>164</v>
      </c>
      <c r="C61" s="48" t="s">
        <v>165</v>
      </c>
      <c r="D61" s="49">
        <v>108082</v>
      </c>
      <c r="E61" s="10">
        <v>0.86</v>
      </c>
      <c r="F61" s="18">
        <f t="shared" si="7"/>
        <v>92950.52</v>
      </c>
      <c r="G61" s="89" t="s">
        <v>166</v>
      </c>
      <c r="H61" s="64" t="s">
        <v>167</v>
      </c>
      <c r="I61" s="75"/>
    </row>
    <row r="62" spans="1:9" ht="20.100000000000001" customHeight="1">
      <c r="A62" s="46" t="s">
        <v>177</v>
      </c>
      <c r="B62" s="47" t="s">
        <v>178</v>
      </c>
      <c r="C62" s="48"/>
      <c r="D62" s="49"/>
      <c r="E62" s="10"/>
      <c r="F62" s="18"/>
      <c r="G62" s="10"/>
      <c r="H62" s="11"/>
      <c r="I62" s="75"/>
    </row>
    <row r="63" spans="1:9" ht="20.100000000000001" customHeight="1">
      <c r="A63" s="46" t="s">
        <v>99</v>
      </c>
      <c r="B63" s="50" t="s">
        <v>179</v>
      </c>
      <c r="C63" s="48"/>
      <c r="D63" s="49"/>
      <c r="E63" s="10"/>
      <c r="F63" s="18"/>
      <c r="G63" s="15"/>
      <c r="H63" s="51"/>
      <c r="I63" s="75"/>
    </row>
    <row r="64" spans="1:9" ht="103.5" customHeight="1">
      <c r="A64" s="46" t="s">
        <v>136</v>
      </c>
      <c r="B64" s="50" t="s">
        <v>137</v>
      </c>
      <c r="C64" s="48" t="s">
        <v>19</v>
      </c>
      <c r="D64" s="49">
        <f>10.5*190.6+2*3.3*351.7+1.6*2.35*1462.73+(1230-887.2)*4*1.5</f>
        <v>11879.184799999999</v>
      </c>
      <c r="E64" s="10">
        <v>16.86</v>
      </c>
      <c r="F64" s="18">
        <f t="shared" ref="F64:F72" si="8">E64*D64</f>
        <v>200283.05572799998</v>
      </c>
      <c r="G64" s="89" t="s">
        <v>253</v>
      </c>
      <c r="H64" s="53" t="s">
        <v>254</v>
      </c>
      <c r="I64" s="78"/>
    </row>
    <row r="65" spans="1:9" ht="69.75" customHeight="1">
      <c r="A65" s="46" t="s">
        <v>140</v>
      </c>
      <c r="B65" s="54" t="s">
        <v>255</v>
      </c>
      <c r="C65" s="48" t="s">
        <v>72</v>
      </c>
      <c r="D65" s="55">
        <v>190.6</v>
      </c>
      <c r="E65" s="10">
        <v>95.92</v>
      </c>
      <c r="F65" s="18">
        <f t="shared" si="8"/>
        <v>18282.351999999999</v>
      </c>
      <c r="G65" s="90" t="s">
        <v>142</v>
      </c>
      <c r="H65" s="57" t="s">
        <v>143</v>
      </c>
      <c r="I65" s="78"/>
    </row>
    <row r="66" spans="1:9" ht="70.5" customHeight="1">
      <c r="A66" s="46" t="s">
        <v>144</v>
      </c>
      <c r="B66" s="54" t="s">
        <v>256</v>
      </c>
      <c r="C66" s="48" t="s">
        <v>72</v>
      </c>
      <c r="D66" s="55">
        <v>351.7</v>
      </c>
      <c r="E66" s="10">
        <v>71.94</v>
      </c>
      <c r="F66" s="18">
        <f t="shared" si="8"/>
        <v>25301.297999999999</v>
      </c>
      <c r="G66" s="90" t="s">
        <v>142</v>
      </c>
      <c r="H66" s="57" t="s">
        <v>143</v>
      </c>
      <c r="I66" s="78"/>
    </row>
    <row r="67" spans="1:9" ht="57.75" customHeight="1">
      <c r="A67" s="46" t="s">
        <v>147</v>
      </c>
      <c r="B67" s="54" t="s">
        <v>184</v>
      </c>
      <c r="C67" s="48" t="s">
        <v>72</v>
      </c>
      <c r="D67" s="55">
        <v>462.7</v>
      </c>
      <c r="E67" s="10">
        <v>120</v>
      </c>
      <c r="F67" s="18">
        <f t="shared" si="8"/>
        <v>55524</v>
      </c>
      <c r="G67" s="56" t="s">
        <v>185</v>
      </c>
      <c r="H67" s="57" t="s">
        <v>186</v>
      </c>
      <c r="I67" s="78"/>
    </row>
    <row r="68" spans="1:9" ht="56.25" customHeight="1">
      <c r="A68" s="46" t="s">
        <v>151</v>
      </c>
      <c r="B68" s="54" t="s">
        <v>187</v>
      </c>
      <c r="C68" s="48" t="s">
        <v>72</v>
      </c>
      <c r="D68" s="55">
        <v>483.5</v>
      </c>
      <c r="E68" s="10">
        <v>52</v>
      </c>
      <c r="F68" s="18">
        <f t="shared" si="8"/>
        <v>25142</v>
      </c>
      <c r="G68" s="56" t="s">
        <v>185</v>
      </c>
      <c r="H68" s="57" t="s">
        <v>186</v>
      </c>
      <c r="I68" s="78"/>
    </row>
    <row r="69" spans="1:9" ht="66" customHeight="1">
      <c r="A69" s="46" t="s">
        <v>155</v>
      </c>
      <c r="B69" s="54" t="s">
        <v>257</v>
      </c>
      <c r="C69" s="48" t="s">
        <v>72</v>
      </c>
      <c r="D69" s="55">
        <f>210-185.5</f>
        <v>24.5</v>
      </c>
      <c r="E69" s="10">
        <v>80</v>
      </c>
      <c r="F69" s="18">
        <f t="shared" si="8"/>
        <v>1960</v>
      </c>
      <c r="G69" s="56" t="s">
        <v>185</v>
      </c>
      <c r="H69" s="57" t="s">
        <v>186</v>
      </c>
      <c r="I69" s="78"/>
    </row>
    <row r="70" spans="1:9" ht="68.099999999999994" customHeight="1">
      <c r="A70" s="46" t="s">
        <v>159</v>
      </c>
      <c r="B70" s="54" t="s">
        <v>189</v>
      </c>
      <c r="C70" s="48" t="s">
        <v>72</v>
      </c>
      <c r="D70" s="55">
        <f>500-25.3+7*24</f>
        <v>642.70000000000005</v>
      </c>
      <c r="E70" s="10">
        <v>32</v>
      </c>
      <c r="F70" s="18">
        <f t="shared" si="8"/>
        <v>20566.400000000001</v>
      </c>
      <c r="G70" s="56" t="s">
        <v>185</v>
      </c>
      <c r="H70" s="57" t="s">
        <v>186</v>
      </c>
      <c r="I70" s="78"/>
    </row>
    <row r="71" spans="1:9" ht="68.099999999999994" customHeight="1">
      <c r="A71" s="46" t="s">
        <v>163</v>
      </c>
      <c r="B71" s="50" t="s">
        <v>190</v>
      </c>
      <c r="C71" s="48" t="s">
        <v>19</v>
      </c>
      <c r="D71" s="55">
        <f>ROUND((0.15+0.2+1+0.5)*1.4*190.6+(0.16+0.15+0.8+0.5)*1.2*351.7+(0.15+0.05+0.6+0.5)*1*(462.7+642.7+24.5+483.5),0)</f>
        <v>3271</v>
      </c>
      <c r="E71" s="10">
        <v>100</v>
      </c>
      <c r="F71" s="18">
        <f t="shared" si="8"/>
        <v>327100</v>
      </c>
      <c r="G71" s="93" t="s">
        <v>258</v>
      </c>
      <c r="H71" s="59" t="s">
        <v>192</v>
      </c>
      <c r="I71" s="78"/>
    </row>
    <row r="72" spans="1:9" ht="63.75" customHeight="1">
      <c r="A72" s="46" t="s">
        <v>168</v>
      </c>
      <c r="B72" s="54" t="s">
        <v>175</v>
      </c>
      <c r="C72" s="48" t="s">
        <v>19</v>
      </c>
      <c r="D72" s="55">
        <f>ROUND((0.2+0.5)*1.6*190.6+(0.16+0.5)*1.28*351.7,0)</f>
        <v>511</v>
      </c>
      <c r="E72" s="10">
        <v>142.51</v>
      </c>
      <c r="F72" s="18">
        <f t="shared" si="8"/>
        <v>72822.61</v>
      </c>
      <c r="G72" s="61" t="s">
        <v>153</v>
      </c>
      <c r="H72" s="61" t="s">
        <v>154</v>
      </c>
      <c r="I72" s="75"/>
    </row>
    <row r="73" spans="1:9" ht="30" customHeight="1">
      <c r="A73" s="79" t="s">
        <v>77</v>
      </c>
      <c r="B73" s="50" t="s">
        <v>193</v>
      </c>
      <c r="C73" s="80" t="s">
        <v>194</v>
      </c>
      <c r="D73" s="55">
        <v>7</v>
      </c>
      <c r="E73" s="10"/>
      <c r="F73" s="18"/>
      <c r="G73" s="90"/>
      <c r="H73" s="57"/>
      <c r="I73" s="78"/>
    </row>
    <row r="74" spans="1:9" ht="64.5" customHeight="1">
      <c r="A74" s="79" t="s">
        <v>195</v>
      </c>
      <c r="B74" s="50" t="s">
        <v>196</v>
      </c>
      <c r="C74" s="48" t="s">
        <v>19</v>
      </c>
      <c r="D74" s="55">
        <f>0.67*7</f>
        <v>4.6900000000000004</v>
      </c>
      <c r="E74" s="10">
        <v>213.77</v>
      </c>
      <c r="F74" s="18">
        <f t="shared" ref="F74:F77" si="9">E74*D74</f>
        <v>1002.5813000000002</v>
      </c>
      <c r="G74" s="61" t="s">
        <v>153</v>
      </c>
      <c r="H74" s="61" t="s">
        <v>154</v>
      </c>
      <c r="I74" s="78"/>
    </row>
    <row r="75" spans="1:9" ht="68.25" customHeight="1">
      <c r="A75" s="79" t="s">
        <v>197</v>
      </c>
      <c r="B75" s="54" t="s">
        <v>198</v>
      </c>
      <c r="C75" s="48" t="s">
        <v>19</v>
      </c>
      <c r="D75" s="55">
        <f>1.49*7</f>
        <v>10.43</v>
      </c>
      <c r="E75" s="10">
        <v>354.69</v>
      </c>
      <c r="F75" s="18">
        <f t="shared" si="9"/>
        <v>3699.4166999999998</v>
      </c>
      <c r="G75" s="63" t="s">
        <v>199</v>
      </c>
      <c r="H75" s="63" t="s">
        <v>158</v>
      </c>
      <c r="I75" s="78"/>
    </row>
    <row r="76" spans="1:9" ht="81" customHeight="1">
      <c r="A76" s="79" t="s">
        <v>200</v>
      </c>
      <c r="B76" s="50" t="s">
        <v>201</v>
      </c>
      <c r="C76" s="80" t="s">
        <v>202</v>
      </c>
      <c r="D76" s="55">
        <v>7</v>
      </c>
      <c r="E76" s="10">
        <v>299.75</v>
      </c>
      <c r="F76" s="18">
        <f t="shared" si="9"/>
        <v>2098.25</v>
      </c>
      <c r="G76" s="81" t="s">
        <v>203</v>
      </c>
      <c r="H76" s="57" t="s">
        <v>204</v>
      </c>
      <c r="I76" s="78"/>
    </row>
    <row r="77" spans="1:9" ht="99" customHeight="1">
      <c r="A77" s="79" t="s">
        <v>205</v>
      </c>
      <c r="B77" s="50" t="s">
        <v>206</v>
      </c>
      <c r="C77" s="80" t="s">
        <v>165</v>
      </c>
      <c r="D77" s="55">
        <f>7*223.55</f>
        <v>1564.8500000000001</v>
      </c>
      <c r="E77" s="10">
        <v>0.86</v>
      </c>
      <c r="F77" s="18">
        <f t="shared" si="9"/>
        <v>1345.7710000000002</v>
      </c>
      <c r="G77" s="89" t="s">
        <v>166</v>
      </c>
      <c r="H77" s="64" t="s">
        <v>167</v>
      </c>
      <c r="I77" s="78"/>
    </row>
    <row r="78" spans="1:9" ht="30" customHeight="1">
      <c r="A78" s="79" t="s">
        <v>35</v>
      </c>
      <c r="B78" s="50" t="s">
        <v>207</v>
      </c>
      <c r="C78" s="80" t="s">
        <v>194</v>
      </c>
      <c r="D78" s="55">
        <f>8+10-3</f>
        <v>15</v>
      </c>
      <c r="E78" s="10"/>
      <c r="F78" s="18"/>
      <c r="G78" s="90"/>
      <c r="H78" s="57"/>
      <c r="I78" s="78"/>
    </row>
    <row r="79" spans="1:9" ht="56.1" customHeight="1">
      <c r="A79" s="46" t="s">
        <v>208</v>
      </c>
      <c r="B79" s="50" t="s">
        <v>196</v>
      </c>
      <c r="C79" s="48" t="s">
        <v>19</v>
      </c>
      <c r="D79" s="55">
        <f>0.905*15</f>
        <v>13.575000000000001</v>
      </c>
      <c r="E79" s="10">
        <v>213.77</v>
      </c>
      <c r="F79" s="18">
        <f t="shared" ref="F79:F82" si="10">E79*D79</f>
        <v>2901.9277500000003</v>
      </c>
      <c r="G79" s="61" t="s">
        <v>153</v>
      </c>
      <c r="H79" s="61" t="s">
        <v>154</v>
      </c>
      <c r="I79" s="78"/>
    </row>
    <row r="80" spans="1:9" ht="69.75" customHeight="1">
      <c r="A80" s="46" t="s">
        <v>209</v>
      </c>
      <c r="B80" s="54" t="s">
        <v>198</v>
      </c>
      <c r="C80" s="48" t="s">
        <v>19</v>
      </c>
      <c r="D80" s="55">
        <f>1.97*15</f>
        <v>29.55</v>
      </c>
      <c r="E80" s="10">
        <v>354.69</v>
      </c>
      <c r="F80" s="18">
        <f t="shared" si="10"/>
        <v>10481.0895</v>
      </c>
      <c r="G80" s="63" t="s">
        <v>199</v>
      </c>
      <c r="H80" s="63" t="s">
        <v>158</v>
      </c>
      <c r="I80" s="78"/>
    </row>
    <row r="81" spans="1:9" ht="85.5" customHeight="1">
      <c r="A81" s="46" t="s">
        <v>210</v>
      </c>
      <c r="B81" s="50" t="s">
        <v>201</v>
      </c>
      <c r="C81" s="80" t="s">
        <v>202</v>
      </c>
      <c r="D81" s="55">
        <v>15</v>
      </c>
      <c r="E81" s="10">
        <v>299.75</v>
      </c>
      <c r="F81" s="18">
        <f t="shared" si="10"/>
        <v>4496.25</v>
      </c>
      <c r="G81" s="81" t="s">
        <v>203</v>
      </c>
      <c r="H81" s="57" t="s">
        <v>204</v>
      </c>
      <c r="I81" s="78"/>
    </row>
    <row r="82" spans="1:9" ht="102" customHeight="1">
      <c r="A82" s="46" t="s">
        <v>211</v>
      </c>
      <c r="B82" s="50" t="s">
        <v>206</v>
      </c>
      <c r="C82" s="80" t="s">
        <v>165</v>
      </c>
      <c r="D82" s="49">
        <f>15*288.24</f>
        <v>4323.6000000000004</v>
      </c>
      <c r="E82" s="10">
        <v>0.86</v>
      </c>
      <c r="F82" s="18">
        <f t="shared" si="10"/>
        <v>3718.2960000000003</v>
      </c>
      <c r="G82" s="89" t="s">
        <v>166</v>
      </c>
      <c r="H82" s="64" t="s">
        <v>167</v>
      </c>
      <c r="I82" s="78"/>
    </row>
    <row r="83" spans="1:9" ht="30" customHeight="1">
      <c r="A83" s="46" t="s">
        <v>84</v>
      </c>
      <c r="B83" s="50" t="s">
        <v>212</v>
      </c>
      <c r="C83" s="80" t="s">
        <v>194</v>
      </c>
      <c r="D83" s="55">
        <v>2</v>
      </c>
      <c r="E83" s="10"/>
      <c r="F83" s="18"/>
      <c r="G83" s="90"/>
      <c r="H83" s="57"/>
      <c r="I83" s="78"/>
    </row>
    <row r="84" spans="1:9" ht="64.5" customHeight="1">
      <c r="A84" s="46" t="s">
        <v>213</v>
      </c>
      <c r="B84" s="50" t="s">
        <v>196</v>
      </c>
      <c r="C84" s="48" t="s">
        <v>19</v>
      </c>
      <c r="D84" s="55">
        <f>1.14*2</f>
        <v>2.2799999999999998</v>
      </c>
      <c r="E84" s="10">
        <v>213.77</v>
      </c>
      <c r="F84" s="18">
        <f t="shared" ref="F84:F87" si="11">E84*D84</f>
        <v>487.3956</v>
      </c>
      <c r="G84" s="61" t="s">
        <v>153</v>
      </c>
      <c r="H84" s="61" t="s">
        <v>154</v>
      </c>
      <c r="I84" s="78"/>
    </row>
    <row r="85" spans="1:9" ht="69.95" customHeight="1">
      <c r="A85" s="46" t="s">
        <v>214</v>
      </c>
      <c r="B85" s="54" t="s">
        <v>198</v>
      </c>
      <c r="C85" s="48" t="s">
        <v>19</v>
      </c>
      <c r="D85" s="55">
        <f>2.52*2</f>
        <v>5.04</v>
      </c>
      <c r="E85" s="10">
        <v>354.69</v>
      </c>
      <c r="F85" s="18">
        <f t="shared" si="11"/>
        <v>1787.6376</v>
      </c>
      <c r="G85" s="63" t="s">
        <v>199</v>
      </c>
      <c r="H85" s="63" t="s">
        <v>158</v>
      </c>
      <c r="I85" s="78"/>
    </row>
    <row r="86" spans="1:9" ht="74.25" customHeight="1">
      <c r="A86" s="46" t="s">
        <v>215</v>
      </c>
      <c r="B86" s="50" t="s">
        <v>201</v>
      </c>
      <c r="C86" s="80" t="s">
        <v>202</v>
      </c>
      <c r="D86" s="55">
        <v>2</v>
      </c>
      <c r="E86" s="10">
        <v>299.75</v>
      </c>
      <c r="F86" s="18">
        <f t="shared" si="11"/>
        <v>599.5</v>
      </c>
      <c r="G86" s="94" t="s">
        <v>203</v>
      </c>
      <c r="H86" s="57" t="s">
        <v>204</v>
      </c>
      <c r="I86" s="78"/>
    </row>
    <row r="87" spans="1:9" ht="101.1" customHeight="1">
      <c r="A87" s="46" t="s">
        <v>216</v>
      </c>
      <c r="B87" s="50" t="s">
        <v>206</v>
      </c>
      <c r="C87" s="80" t="s">
        <v>165</v>
      </c>
      <c r="D87" s="49">
        <f>329.05*2</f>
        <v>658.1</v>
      </c>
      <c r="E87" s="10">
        <v>0.86</v>
      </c>
      <c r="F87" s="18">
        <f t="shared" si="11"/>
        <v>565.96600000000001</v>
      </c>
      <c r="G87" s="89" t="s">
        <v>166</v>
      </c>
      <c r="H87" s="64" t="s">
        <v>167</v>
      </c>
      <c r="I87" s="78"/>
    </row>
    <row r="88" spans="1:9" ht="30" customHeight="1">
      <c r="A88" s="46" t="s">
        <v>55</v>
      </c>
      <c r="B88" s="50" t="s">
        <v>217</v>
      </c>
      <c r="C88" s="80" t="s">
        <v>194</v>
      </c>
      <c r="D88" s="55">
        <v>5</v>
      </c>
      <c r="E88" s="10"/>
      <c r="F88" s="18"/>
      <c r="G88" s="90"/>
      <c r="H88" s="57"/>
      <c r="I88" s="78"/>
    </row>
    <row r="89" spans="1:9" ht="72" customHeight="1">
      <c r="A89" s="46" t="s">
        <v>218</v>
      </c>
      <c r="B89" s="50" t="s">
        <v>196</v>
      </c>
      <c r="C89" s="48" t="s">
        <v>19</v>
      </c>
      <c r="D89" s="55">
        <f>(1.6+0.7+0.2)*0.5*(2.5)*5</f>
        <v>15.625</v>
      </c>
      <c r="E89" s="10">
        <v>142.51</v>
      </c>
      <c r="F89" s="18">
        <f t="shared" ref="F89:F92" si="12">E89*D89</f>
        <v>2226.71875</v>
      </c>
      <c r="G89" s="61" t="s">
        <v>153</v>
      </c>
      <c r="H89" s="61" t="s">
        <v>154</v>
      </c>
      <c r="I89" s="78"/>
    </row>
    <row r="90" spans="1:9" ht="62.1" customHeight="1">
      <c r="A90" s="46" t="s">
        <v>219</v>
      </c>
      <c r="B90" s="54" t="s">
        <v>198</v>
      </c>
      <c r="C90" s="48" t="s">
        <v>19</v>
      </c>
      <c r="D90" s="55">
        <f>(77.7+9.58)/7*5</f>
        <v>62.342857142857142</v>
      </c>
      <c r="E90" s="10">
        <v>354.69</v>
      </c>
      <c r="F90" s="18">
        <f t="shared" si="12"/>
        <v>22112.387999999999</v>
      </c>
      <c r="G90" s="63" t="s">
        <v>199</v>
      </c>
      <c r="H90" s="63" t="s">
        <v>158</v>
      </c>
      <c r="I90" s="78"/>
    </row>
    <row r="91" spans="1:9" ht="69.95" customHeight="1">
      <c r="A91" s="46" t="s">
        <v>220</v>
      </c>
      <c r="B91" s="50" t="s">
        <v>201</v>
      </c>
      <c r="C91" s="80" t="s">
        <v>202</v>
      </c>
      <c r="D91" s="55">
        <v>5</v>
      </c>
      <c r="E91" s="10">
        <v>299.75</v>
      </c>
      <c r="F91" s="18">
        <f t="shared" si="12"/>
        <v>1498.75</v>
      </c>
      <c r="G91" s="94" t="s">
        <v>203</v>
      </c>
      <c r="H91" s="57" t="s">
        <v>204</v>
      </c>
      <c r="I91" s="78"/>
    </row>
    <row r="92" spans="1:9" ht="102" customHeight="1">
      <c r="A92" s="46" t="s">
        <v>221</v>
      </c>
      <c r="B92" s="50" t="s">
        <v>206</v>
      </c>
      <c r="C92" s="80" t="s">
        <v>165</v>
      </c>
      <c r="D92" s="49">
        <f>428.34*5</f>
        <v>2141.6999999999998</v>
      </c>
      <c r="E92" s="10">
        <v>0.86</v>
      </c>
      <c r="F92" s="18">
        <f t="shared" si="12"/>
        <v>1841.8619999999999</v>
      </c>
      <c r="G92" s="89" t="s">
        <v>166</v>
      </c>
      <c r="H92" s="64" t="s">
        <v>167</v>
      </c>
      <c r="I92" s="78"/>
    </row>
    <row r="93" spans="1:9" ht="30" customHeight="1">
      <c r="A93" s="46" t="s">
        <v>222</v>
      </c>
      <c r="B93" s="50" t="s">
        <v>223</v>
      </c>
      <c r="C93" s="80" t="s">
        <v>224</v>
      </c>
      <c r="D93" s="55">
        <f>49+36-39</f>
        <v>46</v>
      </c>
      <c r="E93" s="10"/>
      <c r="F93" s="18"/>
      <c r="G93" s="90"/>
      <c r="H93" s="57"/>
      <c r="I93" s="78"/>
    </row>
    <row r="94" spans="1:9" ht="75.95" customHeight="1">
      <c r="A94" s="46" t="s">
        <v>225</v>
      </c>
      <c r="B94" s="50" t="s">
        <v>226</v>
      </c>
      <c r="C94" s="80" t="s">
        <v>224</v>
      </c>
      <c r="D94" s="55">
        <f>49-24</f>
        <v>25</v>
      </c>
      <c r="E94" s="10">
        <v>918.66</v>
      </c>
      <c r="F94" s="18">
        <f>E94*D94</f>
        <v>22966.5</v>
      </c>
      <c r="G94" s="95" t="s">
        <v>227</v>
      </c>
      <c r="H94" s="41" t="s">
        <v>228</v>
      </c>
      <c r="I94" s="78"/>
    </row>
    <row r="95" spans="1:9" ht="72.75" customHeight="1">
      <c r="A95" s="46" t="s">
        <v>229</v>
      </c>
      <c r="B95" s="50" t="s">
        <v>230</v>
      </c>
      <c r="C95" s="80" t="s">
        <v>224</v>
      </c>
      <c r="D95" s="55">
        <v>21</v>
      </c>
      <c r="E95" s="10">
        <v>799.34</v>
      </c>
      <c r="F95" s="18">
        <f>E95*D95</f>
        <v>16786.14</v>
      </c>
      <c r="G95" s="95" t="s">
        <v>227</v>
      </c>
      <c r="H95" s="41" t="s">
        <v>228</v>
      </c>
      <c r="I95" s="78"/>
    </row>
    <row r="96" spans="1:9" ht="38.1" customHeight="1">
      <c r="A96" s="83"/>
      <c r="B96" s="49"/>
      <c r="C96" s="49"/>
      <c r="D96" s="49"/>
      <c r="E96" s="10"/>
      <c r="F96" s="84">
        <f>SUM(F5:F95)</f>
        <v>6283472.5234279986</v>
      </c>
      <c r="G96" s="10"/>
      <c r="H96" s="11"/>
      <c r="I96" s="75"/>
    </row>
    <row r="97" spans="1:9" s="2" customFormat="1" ht="39" customHeight="1">
      <c r="A97" s="144" t="s">
        <v>231</v>
      </c>
      <c r="B97" s="145"/>
      <c r="C97" s="145"/>
      <c r="D97" s="145"/>
      <c r="E97" s="145"/>
      <c r="F97" s="145"/>
      <c r="G97" s="145"/>
      <c r="H97" s="145"/>
      <c r="I97" s="146"/>
    </row>
    <row r="98" spans="1:9" s="2" customFormat="1" ht="12.75" customHeight="1">
      <c r="A98" s="147"/>
      <c r="B98" s="148"/>
      <c r="C98" s="148"/>
      <c r="D98" s="148"/>
      <c r="E98" s="148"/>
      <c r="F98" s="148"/>
      <c r="G98" s="148"/>
      <c r="H98" s="148"/>
      <c r="I98" s="149"/>
    </row>
    <row r="99" spans="1:9" s="2" customFormat="1" ht="14.25" customHeight="1">
      <c r="A99" s="152" t="s">
        <v>232</v>
      </c>
      <c r="B99" s="153"/>
      <c r="C99" s="153"/>
      <c r="D99" s="153"/>
      <c r="E99" s="153"/>
      <c r="F99" s="153"/>
      <c r="G99" s="153"/>
      <c r="H99" s="153"/>
      <c r="I99" s="154"/>
    </row>
    <row r="100" spans="1:9" s="2" customFormat="1" ht="14.25" customHeight="1">
      <c r="A100" s="155" t="s">
        <v>233</v>
      </c>
      <c r="B100" s="156"/>
      <c r="C100" s="156"/>
      <c r="D100" s="156"/>
      <c r="E100" s="156"/>
      <c r="F100" s="156"/>
      <c r="G100" s="156"/>
      <c r="H100" s="156"/>
      <c r="I100" s="157"/>
    </row>
    <row r="101" spans="1:9" s="2" customFormat="1" ht="14.25" customHeight="1">
      <c r="A101" s="155" t="s">
        <v>234</v>
      </c>
      <c r="B101" s="156"/>
      <c r="C101" s="156"/>
      <c r="D101" s="156"/>
      <c r="E101" s="156"/>
      <c r="F101" s="156"/>
      <c r="G101" s="156"/>
      <c r="H101" s="156"/>
      <c r="I101" s="157"/>
    </row>
    <row r="102" spans="1:9" s="2" customFormat="1" ht="14.25" customHeight="1">
      <c r="A102" s="155" t="s">
        <v>235</v>
      </c>
      <c r="B102" s="156"/>
      <c r="C102" s="156"/>
      <c r="D102" s="156"/>
      <c r="E102" s="156"/>
      <c r="F102" s="156"/>
      <c r="G102" s="156"/>
      <c r="H102" s="156"/>
      <c r="I102" s="157"/>
    </row>
    <row r="103" spans="1:9" s="2" customFormat="1" ht="14.25" customHeight="1">
      <c r="A103" s="141" t="s">
        <v>236</v>
      </c>
      <c r="B103" s="142"/>
      <c r="C103" s="142"/>
      <c r="D103" s="142"/>
      <c r="E103" s="142"/>
      <c r="F103" s="142"/>
      <c r="G103" s="142"/>
      <c r="H103" s="142"/>
      <c r="I103" s="143"/>
    </row>
  </sheetData>
  <sheetProtection password="C61B" sheet="1" objects="1" scenarios="1"/>
  <mergeCells count="7">
    <mergeCell ref="A103:I103"/>
    <mergeCell ref="A97:I98"/>
    <mergeCell ref="A1:I1"/>
    <mergeCell ref="A99:I99"/>
    <mergeCell ref="A100:I100"/>
    <mergeCell ref="A101:I101"/>
    <mergeCell ref="A102:I102"/>
  </mergeCells>
  <phoneticPr fontId="38" type="noConversion"/>
  <pageMargins left="0.70069444444444495" right="0.70069444444444495" top="0.75138888888888899" bottom="0.75138888888888899" header="0.29861111111111099" footer="0.29861111111111099"/>
  <pageSetup paperSize="9" scale="85" orientation="landscape" r:id="rId1"/>
  <headerFooter>
    <oddFooter>&amp;L项目经理部：
公司工程部：                            公司班子成员：&amp;R第&amp;P，共&amp;N页</oddFooter>
  </headerFooter>
</worksheet>
</file>

<file path=xl/worksheets/sheet3.xml><?xml version="1.0" encoding="utf-8"?>
<worksheet xmlns="http://schemas.openxmlformats.org/spreadsheetml/2006/main" xmlns:r="http://schemas.openxmlformats.org/officeDocument/2006/relationships">
  <dimension ref="A1:I84"/>
  <sheetViews>
    <sheetView zoomScale="85" zoomScaleNormal="85" workbookViewId="0">
      <selection activeCell="E7" sqref="E7"/>
    </sheetView>
  </sheetViews>
  <sheetFormatPr defaultColWidth="9" defaultRowHeight="12"/>
  <cols>
    <col min="1" max="1" width="7.5" style="3" customWidth="1"/>
    <col min="2" max="2" width="12.125" style="1" customWidth="1"/>
    <col min="3" max="3" width="5.125" style="1" customWidth="1"/>
    <col min="4" max="4" width="7.5" style="1" customWidth="1"/>
    <col min="5" max="5" width="8.25" style="1" customWidth="1"/>
    <col min="6" max="6" width="10.75" style="1" customWidth="1"/>
    <col min="7" max="7" width="40.125" style="4" customWidth="1"/>
    <col min="8" max="8" width="55.5" style="5" customWidth="1"/>
    <col min="9" max="9" width="8.125" style="6" customWidth="1"/>
    <col min="10" max="16384" width="9" style="1"/>
  </cols>
  <sheetData>
    <row r="1" spans="1:9" ht="35.25" customHeight="1">
      <c r="A1" s="150" t="s">
        <v>259</v>
      </c>
      <c r="B1" s="151"/>
      <c r="C1" s="151"/>
      <c r="D1" s="151"/>
      <c r="E1" s="151"/>
      <c r="F1" s="151"/>
      <c r="G1" s="151"/>
      <c r="H1" s="151"/>
      <c r="I1" s="151"/>
    </row>
    <row r="2" spans="1:9" ht="27" customHeight="1">
      <c r="A2" s="7" t="s">
        <v>1</v>
      </c>
      <c r="B2" s="8" t="s">
        <v>2</v>
      </c>
      <c r="C2" s="8" t="s">
        <v>3</v>
      </c>
      <c r="D2" s="8" t="s">
        <v>4</v>
      </c>
      <c r="E2" s="8" t="s">
        <v>5</v>
      </c>
      <c r="F2" s="8" t="s">
        <v>6</v>
      </c>
      <c r="G2" s="8" t="s">
        <v>7</v>
      </c>
      <c r="H2" s="9" t="s">
        <v>8</v>
      </c>
      <c r="I2" s="74" t="s">
        <v>9</v>
      </c>
    </row>
    <row r="3" spans="1:9" ht="198.75" customHeight="1">
      <c r="A3" s="7" t="s">
        <v>10</v>
      </c>
      <c r="B3" s="8" t="s">
        <v>11</v>
      </c>
      <c r="C3" s="8" t="s">
        <v>12</v>
      </c>
      <c r="D3" s="8">
        <v>1</v>
      </c>
      <c r="E3" s="8">
        <f>F3/D3</f>
        <v>71557</v>
      </c>
      <c r="F3" s="8">
        <v>71557</v>
      </c>
      <c r="G3" s="10" t="s">
        <v>13</v>
      </c>
      <c r="H3" s="11" t="s">
        <v>14</v>
      </c>
      <c r="I3" s="74"/>
    </row>
    <row r="4" spans="1:9" ht="20.100000000000001" customHeight="1">
      <c r="A4" s="12" t="s">
        <v>15</v>
      </c>
      <c r="B4" s="13" t="s">
        <v>16</v>
      </c>
      <c r="C4" s="14"/>
      <c r="D4" s="14"/>
      <c r="E4" s="10"/>
      <c r="F4" s="10"/>
      <c r="G4" s="15"/>
      <c r="H4" s="16"/>
      <c r="I4" s="75"/>
    </row>
    <row r="5" spans="1:9" ht="108.95" customHeight="1">
      <c r="A5" s="12" t="s">
        <v>17</v>
      </c>
      <c r="B5" s="13" t="s">
        <v>18</v>
      </c>
      <c r="C5" s="14" t="s">
        <v>19</v>
      </c>
      <c r="D5" s="17">
        <v>8838</v>
      </c>
      <c r="E5" s="10">
        <v>7.18</v>
      </c>
      <c r="F5" s="18">
        <f t="shared" ref="F5:F8" si="0">E5*D5</f>
        <v>63456.84</v>
      </c>
      <c r="G5" s="19" t="s">
        <v>20</v>
      </c>
      <c r="H5" s="138" t="s">
        <v>268</v>
      </c>
      <c r="I5" s="75"/>
    </row>
    <row r="6" spans="1:9" ht="145.5" customHeight="1">
      <c r="A6" s="12" t="s">
        <v>21</v>
      </c>
      <c r="B6" s="13" t="s">
        <v>260</v>
      </c>
      <c r="C6" s="14" t="s">
        <v>19</v>
      </c>
      <c r="D6" s="17">
        <v>8838</v>
      </c>
      <c r="E6" s="10">
        <v>10.36</v>
      </c>
      <c r="F6" s="18">
        <f t="shared" si="0"/>
        <v>91561.68</v>
      </c>
      <c r="G6" s="20" t="s">
        <v>238</v>
      </c>
      <c r="H6" s="21" t="s">
        <v>24</v>
      </c>
      <c r="I6" s="75"/>
    </row>
    <row r="7" spans="1:9" ht="20.100000000000001" customHeight="1">
      <c r="A7" s="12" t="s">
        <v>25</v>
      </c>
      <c r="B7" s="13" t="s">
        <v>26</v>
      </c>
      <c r="C7" s="14"/>
      <c r="D7" s="14"/>
      <c r="E7" s="10"/>
      <c r="F7" s="18"/>
      <c r="G7" s="10"/>
      <c r="H7" s="11"/>
      <c r="I7" s="75"/>
    </row>
    <row r="8" spans="1:9" ht="106.5" customHeight="1">
      <c r="A8" s="12" t="s">
        <v>17</v>
      </c>
      <c r="B8" s="13" t="s">
        <v>27</v>
      </c>
      <c r="C8" s="14" t="s">
        <v>19</v>
      </c>
      <c r="D8" s="14">
        <v>22327</v>
      </c>
      <c r="E8" s="10">
        <v>6.89</v>
      </c>
      <c r="F8" s="18">
        <f t="shared" si="0"/>
        <v>153833.03</v>
      </c>
      <c r="G8" s="10" t="s">
        <v>28</v>
      </c>
      <c r="H8" s="11" t="s">
        <v>29</v>
      </c>
      <c r="I8" s="75"/>
    </row>
    <row r="9" spans="1:9">
      <c r="A9" s="12" t="s">
        <v>21</v>
      </c>
      <c r="B9" s="13" t="s">
        <v>30</v>
      </c>
      <c r="C9" s="14"/>
      <c r="D9" s="14"/>
      <c r="E9" s="10"/>
      <c r="F9" s="18"/>
      <c r="G9" s="10"/>
      <c r="H9" s="11"/>
      <c r="I9" s="75"/>
    </row>
    <row r="10" spans="1:9" ht="117.75" customHeight="1">
      <c r="A10" s="12">
        <v>-1</v>
      </c>
      <c r="B10" s="13" t="s">
        <v>31</v>
      </c>
      <c r="C10" s="14" t="s">
        <v>19</v>
      </c>
      <c r="D10" s="22">
        <v>25174</v>
      </c>
      <c r="E10" s="10">
        <v>10.71</v>
      </c>
      <c r="F10" s="18">
        <f t="shared" ref="F10:F13" si="1">E10*D10</f>
        <v>269613.54000000004</v>
      </c>
      <c r="G10" s="23" t="s">
        <v>239</v>
      </c>
      <c r="H10" s="24" t="s">
        <v>240</v>
      </c>
      <c r="I10" s="75"/>
    </row>
    <row r="11" spans="1:9" ht="143.1" customHeight="1">
      <c r="A11" s="12">
        <v>-2</v>
      </c>
      <c r="B11" s="13" t="s">
        <v>34</v>
      </c>
      <c r="C11" s="14" t="s">
        <v>19</v>
      </c>
      <c r="D11" s="14">
        <v>0</v>
      </c>
      <c r="E11" s="10">
        <v>21.43</v>
      </c>
      <c r="F11" s="18">
        <f t="shared" si="1"/>
        <v>0</v>
      </c>
      <c r="G11" s="23" t="s">
        <v>239</v>
      </c>
      <c r="H11" s="24" t="s">
        <v>241</v>
      </c>
      <c r="I11" s="75"/>
    </row>
    <row r="12" spans="1:9" ht="87" customHeight="1">
      <c r="A12" s="12" t="s">
        <v>35</v>
      </c>
      <c r="B12" s="13" t="s">
        <v>36</v>
      </c>
      <c r="C12" s="14" t="s">
        <v>19</v>
      </c>
      <c r="D12" s="14">
        <v>612</v>
      </c>
      <c r="E12" s="10">
        <v>7.52</v>
      </c>
      <c r="F12" s="18">
        <f t="shared" si="1"/>
        <v>4602.24</v>
      </c>
      <c r="G12" s="25" t="s">
        <v>37</v>
      </c>
      <c r="H12" s="26" t="s">
        <v>38</v>
      </c>
      <c r="I12" s="75"/>
    </row>
    <row r="13" spans="1:9" ht="86.25" customHeight="1">
      <c r="A13" s="12" t="s">
        <v>39</v>
      </c>
      <c r="B13" s="13" t="s">
        <v>40</v>
      </c>
      <c r="C13" s="14" t="s">
        <v>19</v>
      </c>
      <c r="D13" s="14">
        <v>1575</v>
      </c>
      <c r="E13" s="10">
        <v>14.27</v>
      </c>
      <c r="F13" s="18">
        <f t="shared" si="1"/>
        <v>22475.25</v>
      </c>
      <c r="G13" s="25" t="s">
        <v>41</v>
      </c>
      <c r="H13" s="26" t="s">
        <v>42</v>
      </c>
      <c r="I13" s="75"/>
    </row>
    <row r="14" spans="1:9" ht="24">
      <c r="A14" s="12" t="s">
        <v>43</v>
      </c>
      <c r="B14" s="13" t="s">
        <v>44</v>
      </c>
      <c r="C14" s="14"/>
      <c r="D14" s="14"/>
      <c r="E14" s="10"/>
      <c r="F14" s="18"/>
      <c r="G14" s="10"/>
      <c r="H14" s="11"/>
      <c r="I14" s="75"/>
    </row>
    <row r="15" spans="1:9" ht="162.94999999999999" customHeight="1">
      <c r="A15" s="12" t="s">
        <v>21</v>
      </c>
      <c r="B15" s="13" t="s">
        <v>45</v>
      </c>
      <c r="C15" s="14" t="s">
        <v>19</v>
      </c>
      <c r="D15" s="22">
        <v>19247</v>
      </c>
      <c r="E15" s="14">
        <v>3.24</v>
      </c>
      <c r="F15" s="18">
        <f t="shared" ref="F15:F19" si="2">E15*D15</f>
        <v>62360.280000000006</v>
      </c>
      <c r="G15" s="27" t="s">
        <v>242</v>
      </c>
      <c r="H15" s="28" t="s">
        <v>47</v>
      </c>
      <c r="I15" s="75"/>
    </row>
    <row r="16" spans="1:9" ht="162" customHeight="1">
      <c r="A16" s="12" t="s">
        <v>48</v>
      </c>
      <c r="B16" s="13" t="s">
        <v>49</v>
      </c>
      <c r="C16" s="14" t="s">
        <v>19</v>
      </c>
      <c r="D16" s="22">
        <v>15232</v>
      </c>
      <c r="E16" s="10">
        <v>4.34</v>
      </c>
      <c r="F16" s="18">
        <f t="shared" si="2"/>
        <v>66106.880000000005</v>
      </c>
      <c r="G16" s="29" t="s">
        <v>243</v>
      </c>
      <c r="H16" s="28" t="s">
        <v>51</v>
      </c>
      <c r="I16" s="75"/>
    </row>
    <row r="17" spans="1:9" ht="150" customHeight="1">
      <c r="A17" s="12" t="s">
        <v>52</v>
      </c>
      <c r="B17" s="13" t="s">
        <v>53</v>
      </c>
      <c r="C17" s="14" t="s">
        <v>19</v>
      </c>
      <c r="D17" s="22"/>
      <c r="E17" s="30">
        <v>10.36</v>
      </c>
      <c r="F17" s="18">
        <f t="shared" si="2"/>
        <v>0</v>
      </c>
      <c r="G17" s="31" t="s">
        <v>238</v>
      </c>
      <c r="H17" s="32" t="s">
        <v>54</v>
      </c>
      <c r="I17" s="10"/>
    </row>
    <row r="18" spans="1:9" ht="109.5" customHeight="1">
      <c r="A18" s="12" t="s">
        <v>59</v>
      </c>
      <c r="B18" s="13" t="s">
        <v>60</v>
      </c>
      <c r="C18" s="14" t="s">
        <v>19</v>
      </c>
      <c r="D18" s="14">
        <v>3125.5</v>
      </c>
      <c r="E18" s="10">
        <v>10.36</v>
      </c>
      <c r="F18" s="18">
        <f t="shared" si="2"/>
        <v>32380.179999999997</v>
      </c>
      <c r="G18" s="20" t="s">
        <v>238</v>
      </c>
      <c r="H18" s="21" t="s">
        <v>61</v>
      </c>
      <c r="I18" s="10"/>
    </row>
    <row r="19" spans="1:9" ht="258.75" customHeight="1">
      <c r="A19" s="12" t="s">
        <v>62</v>
      </c>
      <c r="B19" s="13" t="s">
        <v>63</v>
      </c>
      <c r="C19" s="14" t="s">
        <v>19</v>
      </c>
      <c r="D19" s="14">
        <v>411.2</v>
      </c>
      <c r="E19" s="30">
        <v>13.55</v>
      </c>
      <c r="F19" s="18">
        <f t="shared" si="2"/>
        <v>5571.76</v>
      </c>
      <c r="G19" s="31" t="s">
        <v>244</v>
      </c>
      <c r="H19" s="32" t="s">
        <v>245</v>
      </c>
      <c r="I19" s="10"/>
    </row>
    <row r="20" spans="1:9">
      <c r="A20" s="12" t="s">
        <v>64</v>
      </c>
      <c r="B20" s="13" t="s">
        <v>65</v>
      </c>
      <c r="C20" s="14"/>
      <c r="D20" s="14"/>
      <c r="E20" s="10"/>
      <c r="F20" s="18"/>
      <c r="G20" s="10"/>
      <c r="H20" s="11"/>
      <c r="I20" s="10"/>
    </row>
    <row r="21" spans="1:9" ht="60" customHeight="1">
      <c r="A21" s="12" t="s">
        <v>66</v>
      </c>
      <c r="B21" s="13" t="s">
        <v>67</v>
      </c>
      <c r="C21" s="14" t="s">
        <v>19</v>
      </c>
      <c r="D21" s="17">
        <f>2984+532</f>
        <v>3516</v>
      </c>
      <c r="E21" s="10">
        <v>41.52</v>
      </c>
      <c r="F21" s="18">
        <f t="shared" ref="F21:F25" si="3">E21*D21</f>
        <v>145984.32000000001</v>
      </c>
      <c r="G21" s="33" t="s">
        <v>68</v>
      </c>
      <c r="H21" s="26" t="s">
        <v>69</v>
      </c>
      <c r="I21" s="10"/>
    </row>
    <row r="22" spans="1:9" ht="64.5" customHeight="1">
      <c r="A22" s="12" t="s">
        <v>70</v>
      </c>
      <c r="B22" s="13" t="s">
        <v>71</v>
      </c>
      <c r="C22" s="14" t="s">
        <v>72</v>
      </c>
      <c r="D22" s="14">
        <v>90</v>
      </c>
      <c r="E22" s="10">
        <v>27.58</v>
      </c>
      <c r="F22" s="18">
        <f t="shared" si="3"/>
        <v>2482.1999999999998</v>
      </c>
      <c r="G22" s="34" t="s">
        <v>73</v>
      </c>
      <c r="H22" s="13" t="s">
        <v>74</v>
      </c>
      <c r="I22" s="75"/>
    </row>
    <row r="23" spans="1:9">
      <c r="A23" s="12" t="s">
        <v>75</v>
      </c>
      <c r="B23" s="13" t="s">
        <v>76</v>
      </c>
      <c r="C23" s="14"/>
      <c r="D23" s="14"/>
      <c r="E23" s="10"/>
      <c r="F23" s="18"/>
      <c r="G23" s="10"/>
      <c r="H23" s="11"/>
      <c r="I23" s="75"/>
    </row>
    <row r="24" spans="1:9" ht="75.75" customHeight="1">
      <c r="A24" s="12" t="s">
        <v>77</v>
      </c>
      <c r="B24" s="13" t="s">
        <v>78</v>
      </c>
      <c r="C24" s="14" t="s">
        <v>19</v>
      </c>
      <c r="D24" s="17">
        <v>315</v>
      </c>
      <c r="E24" s="10">
        <v>41.52</v>
      </c>
      <c r="F24" s="18">
        <f t="shared" si="3"/>
        <v>13078.800000000001</v>
      </c>
      <c r="G24" s="35" t="s">
        <v>79</v>
      </c>
      <c r="H24" s="35" t="s">
        <v>80</v>
      </c>
      <c r="I24" s="75"/>
    </row>
    <row r="25" spans="1:9" ht="80.099999999999994" customHeight="1">
      <c r="A25" s="12" t="s">
        <v>81</v>
      </c>
      <c r="B25" s="13" t="s">
        <v>82</v>
      </c>
      <c r="C25" s="14" t="s">
        <v>19</v>
      </c>
      <c r="D25" s="17">
        <v>2100</v>
      </c>
      <c r="E25" s="10">
        <v>41.52</v>
      </c>
      <c r="F25" s="18">
        <f t="shared" si="3"/>
        <v>87192</v>
      </c>
      <c r="G25" s="35" t="s">
        <v>83</v>
      </c>
      <c r="H25" s="35" t="s">
        <v>80</v>
      </c>
      <c r="I25" s="75"/>
    </row>
    <row r="26" spans="1:9">
      <c r="A26" s="12" t="s">
        <v>84</v>
      </c>
      <c r="B26" s="13" t="s">
        <v>85</v>
      </c>
      <c r="C26" s="14"/>
      <c r="D26" s="14"/>
      <c r="E26" s="10"/>
      <c r="F26" s="18"/>
      <c r="G26" s="10"/>
      <c r="H26" s="11"/>
      <c r="I26" s="75"/>
    </row>
    <row r="27" spans="1:9" ht="90" customHeight="1">
      <c r="A27" s="12" t="s">
        <v>86</v>
      </c>
      <c r="B27" s="13" t="s">
        <v>87</v>
      </c>
      <c r="C27" s="14" t="s">
        <v>88</v>
      </c>
      <c r="D27" s="14">
        <v>4910</v>
      </c>
      <c r="E27" s="10">
        <v>1</v>
      </c>
      <c r="F27" s="18">
        <f t="shared" ref="F27:F34" si="4">E27*D27</f>
        <v>4910</v>
      </c>
      <c r="G27" s="36" t="s">
        <v>246</v>
      </c>
      <c r="H27" s="37" t="s">
        <v>247</v>
      </c>
      <c r="I27" s="75"/>
    </row>
    <row r="28" spans="1:9" ht="61.5" customHeight="1">
      <c r="A28" s="12" t="s">
        <v>59</v>
      </c>
      <c r="B28" s="13" t="s">
        <v>91</v>
      </c>
      <c r="C28" s="14" t="s">
        <v>19</v>
      </c>
      <c r="D28" s="14">
        <v>2415</v>
      </c>
      <c r="E28" s="10">
        <v>5.55</v>
      </c>
      <c r="F28" s="18">
        <f t="shared" si="4"/>
        <v>13403.25</v>
      </c>
      <c r="G28" s="38" t="s">
        <v>92</v>
      </c>
      <c r="H28" s="26" t="s">
        <v>93</v>
      </c>
      <c r="I28" s="75"/>
    </row>
    <row r="29" spans="1:9">
      <c r="A29" s="12" t="s">
        <v>94</v>
      </c>
      <c r="B29" s="13" t="s">
        <v>95</v>
      </c>
      <c r="C29" s="14"/>
      <c r="D29" s="14"/>
      <c r="E29" s="10"/>
      <c r="F29" s="18"/>
      <c r="G29" s="10"/>
      <c r="H29" s="11"/>
      <c r="I29" s="75"/>
    </row>
    <row r="30" spans="1:9" ht="84.75" customHeight="1">
      <c r="A30" s="12" t="s">
        <v>17</v>
      </c>
      <c r="B30" s="13" t="s">
        <v>96</v>
      </c>
      <c r="C30" s="14" t="s">
        <v>19</v>
      </c>
      <c r="D30" s="14">
        <f>2120*0.72</f>
        <v>1526.3999999999999</v>
      </c>
      <c r="E30" s="10">
        <v>345.13</v>
      </c>
      <c r="F30" s="18">
        <f t="shared" si="4"/>
        <v>526806.43199999991</v>
      </c>
      <c r="G30" s="19" t="s">
        <v>97</v>
      </c>
      <c r="H30" s="19" t="s">
        <v>98</v>
      </c>
      <c r="I30" s="139"/>
    </row>
    <row r="31" spans="1:9" ht="81" customHeight="1">
      <c r="A31" s="39" t="s">
        <v>99</v>
      </c>
      <c r="B31" s="40" t="s">
        <v>100</v>
      </c>
      <c r="C31" s="40" t="s">
        <v>101</v>
      </c>
      <c r="D31" s="40">
        <v>300</v>
      </c>
      <c r="E31" s="40">
        <v>371.96</v>
      </c>
      <c r="F31" s="18">
        <f t="shared" si="4"/>
        <v>111588</v>
      </c>
      <c r="G31" s="19" t="s">
        <v>97</v>
      </c>
      <c r="H31" s="41" t="s">
        <v>102</v>
      </c>
      <c r="I31" s="140"/>
    </row>
    <row r="32" spans="1:9" ht="72.75" customHeight="1">
      <c r="A32" s="39" t="s">
        <v>21</v>
      </c>
      <c r="B32" s="40" t="s">
        <v>103</v>
      </c>
      <c r="C32" s="40" t="s">
        <v>101</v>
      </c>
      <c r="D32" s="40">
        <v>120</v>
      </c>
      <c r="E32" s="25">
        <v>371.96</v>
      </c>
      <c r="F32" s="18">
        <f t="shared" si="4"/>
        <v>44635.199999999997</v>
      </c>
      <c r="G32" s="19" t="s">
        <v>97</v>
      </c>
      <c r="H32" s="41" t="s">
        <v>102</v>
      </c>
      <c r="I32" s="77"/>
    </row>
    <row r="33" spans="1:9" ht="87" customHeight="1">
      <c r="A33" s="39" t="s">
        <v>104</v>
      </c>
      <c r="B33" s="42" t="s">
        <v>105</v>
      </c>
      <c r="C33" s="42" t="s">
        <v>72</v>
      </c>
      <c r="D33" s="40">
        <v>3370</v>
      </c>
      <c r="E33" s="25">
        <v>537.55999999999995</v>
      </c>
      <c r="F33" s="18">
        <f t="shared" si="4"/>
        <v>1811577.1999999997</v>
      </c>
      <c r="G33" s="13" t="s">
        <v>106</v>
      </c>
      <c r="H33" s="13" t="s">
        <v>107</v>
      </c>
      <c r="I33" s="77"/>
    </row>
    <row r="34" spans="1:9" ht="50.25" customHeight="1">
      <c r="A34" s="39" t="s">
        <v>108</v>
      </c>
      <c r="B34" s="40" t="s">
        <v>109</v>
      </c>
      <c r="C34" s="40" t="s">
        <v>19</v>
      </c>
      <c r="D34" s="40">
        <v>72.8</v>
      </c>
      <c r="E34" s="25">
        <v>140.04</v>
      </c>
      <c r="F34" s="18">
        <f t="shared" si="4"/>
        <v>10194.911999999998</v>
      </c>
      <c r="G34" s="43" t="s">
        <v>110</v>
      </c>
      <c r="H34" s="13" t="s">
        <v>74</v>
      </c>
      <c r="I34" s="77"/>
    </row>
    <row r="35" spans="1:9" ht="28.5" customHeight="1">
      <c r="A35" s="39" t="s">
        <v>111</v>
      </c>
      <c r="B35" s="40" t="s">
        <v>112</v>
      </c>
      <c r="C35" s="40"/>
      <c r="D35" s="40"/>
      <c r="E35" s="25"/>
      <c r="F35" s="18"/>
      <c r="G35" s="25"/>
      <c r="H35" s="26"/>
      <c r="I35" s="77"/>
    </row>
    <row r="36" spans="1:9" ht="28.5" customHeight="1">
      <c r="A36" s="39" t="s">
        <v>113</v>
      </c>
      <c r="B36" s="40" t="s">
        <v>114</v>
      </c>
      <c r="C36" s="40"/>
      <c r="D36" s="40"/>
      <c r="E36" s="25"/>
      <c r="F36" s="18"/>
      <c r="G36" s="25"/>
      <c r="H36" s="26"/>
      <c r="I36" s="77"/>
    </row>
    <row r="37" spans="1:9" ht="60.75" customHeight="1">
      <c r="A37" s="39" t="s">
        <v>115</v>
      </c>
      <c r="B37" s="40" t="s">
        <v>116</v>
      </c>
      <c r="C37" s="40" t="s">
        <v>19</v>
      </c>
      <c r="D37" s="40">
        <v>10</v>
      </c>
      <c r="E37" s="25">
        <v>549.26</v>
      </c>
      <c r="F37" s="18">
        <f t="shared" ref="F37:F41" si="5">E37*D37</f>
        <v>5492.6</v>
      </c>
      <c r="G37" s="16" t="s">
        <v>117</v>
      </c>
      <c r="H37" s="16" t="s">
        <v>118</v>
      </c>
      <c r="I37" s="77"/>
    </row>
    <row r="38" spans="1:9" ht="66" customHeight="1">
      <c r="A38" s="39" t="s">
        <v>119</v>
      </c>
      <c r="B38" s="40" t="s">
        <v>114</v>
      </c>
      <c r="C38" s="40" t="s">
        <v>19</v>
      </c>
      <c r="D38" s="40">
        <f>144.2+60.4</f>
        <v>204.6</v>
      </c>
      <c r="E38" s="25">
        <v>335.34</v>
      </c>
      <c r="F38" s="18">
        <f t="shared" si="5"/>
        <v>68610.563999999998</v>
      </c>
      <c r="G38" s="13" t="s">
        <v>120</v>
      </c>
      <c r="H38" s="13" t="s">
        <v>121</v>
      </c>
      <c r="I38" s="77"/>
    </row>
    <row r="39" spans="1:9" ht="17.100000000000001" customHeight="1">
      <c r="A39" s="44" t="s">
        <v>122</v>
      </c>
      <c r="B39" s="45" t="s">
        <v>123</v>
      </c>
      <c r="C39" s="45"/>
      <c r="D39" s="45"/>
      <c r="E39" s="45"/>
      <c r="F39" s="18"/>
      <c r="G39" s="45"/>
      <c r="H39" s="41"/>
      <c r="I39" s="77"/>
    </row>
    <row r="40" spans="1:9" ht="78" customHeight="1">
      <c r="A40" s="44" t="s">
        <v>99</v>
      </c>
      <c r="B40" s="45" t="s">
        <v>124</v>
      </c>
      <c r="C40" s="45" t="s">
        <v>19</v>
      </c>
      <c r="D40" s="45">
        <v>646.75</v>
      </c>
      <c r="E40" s="45">
        <v>372.89</v>
      </c>
      <c r="F40" s="18">
        <f t="shared" si="5"/>
        <v>241166.60749999998</v>
      </c>
      <c r="G40" s="45" t="s">
        <v>125</v>
      </c>
      <c r="H40" s="41" t="s">
        <v>126</v>
      </c>
      <c r="I40" s="77"/>
    </row>
    <row r="41" spans="1:9" ht="81.75" customHeight="1">
      <c r="A41" s="44" t="s">
        <v>77</v>
      </c>
      <c r="B41" s="45" t="s">
        <v>127</v>
      </c>
      <c r="C41" s="45" t="s">
        <v>19</v>
      </c>
      <c r="D41" s="45">
        <f>D40*0.3</f>
        <v>194.02500000000001</v>
      </c>
      <c r="E41" s="45">
        <v>313.76</v>
      </c>
      <c r="F41" s="18">
        <f t="shared" si="5"/>
        <v>60877.284</v>
      </c>
      <c r="G41" s="45" t="s">
        <v>128</v>
      </c>
      <c r="H41" s="41" t="s">
        <v>129</v>
      </c>
      <c r="I41" s="77"/>
    </row>
    <row r="42" spans="1:9" ht="23.25" customHeight="1">
      <c r="A42" s="44" t="s">
        <v>130</v>
      </c>
      <c r="B42" s="45" t="s">
        <v>131</v>
      </c>
      <c r="C42" s="45"/>
      <c r="D42" s="45"/>
      <c r="E42" s="45"/>
      <c r="F42" s="18"/>
      <c r="G42" s="45"/>
      <c r="H42" s="41"/>
      <c r="I42" s="77"/>
    </row>
    <row r="43" spans="1:9" ht="81.75" customHeight="1">
      <c r="A43" s="44" t="s">
        <v>99</v>
      </c>
      <c r="B43" s="45" t="s">
        <v>124</v>
      </c>
      <c r="C43" s="45" t="s">
        <v>19</v>
      </c>
      <c r="D43" s="45">
        <v>272</v>
      </c>
      <c r="E43" s="45">
        <v>333.32</v>
      </c>
      <c r="F43" s="18">
        <f t="shared" ref="F43:F54" si="6">E43*D43</f>
        <v>90663.039999999994</v>
      </c>
      <c r="G43" s="45" t="s">
        <v>132</v>
      </c>
      <c r="H43" s="41" t="s">
        <v>102</v>
      </c>
      <c r="I43" s="77"/>
    </row>
    <row r="44" spans="1:9" ht="36.75" customHeight="1">
      <c r="A44" s="46" t="s">
        <v>133</v>
      </c>
      <c r="B44" s="47" t="s">
        <v>134</v>
      </c>
      <c r="C44" s="48"/>
      <c r="D44" s="49"/>
      <c r="E44" s="10"/>
      <c r="F44" s="18">
        <f t="shared" si="6"/>
        <v>0</v>
      </c>
      <c r="G44" s="10"/>
      <c r="H44" s="11"/>
      <c r="I44" s="75"/>
    </row>
    <row r="45" spans="1:9" ht="20.100000000000001" customHeight="1">
      <c r="A45" s="46" t="s">
        <v>99</v>
      </c>
      <c r="B45" s="50" t="s">
        <v>135</v>
      </c>
      <c r="C45" s="48"/>
      <c r="D45" s="49"/>
      <c r="E45" s="10"/>
      <c r="F45" s="18"/>
      <c r="G45" s="15"/>
      <c r="H45" s="51"/>
      <c r="I45" s="75"/>
    </row>
    <row r="46" spans="1:9" ht="100.5" customHeight="1">
      <c r="A46" s="46" t="s">
        <v>136</v>
      </c>
      <c r="B46" s="50" t="s">
        <v>137</v>
      </c>
      <c r="C46" s="48" t="s">
        <v>19</v>
      </c>
      <c r="D46" s="49">
        <v>1666.9</v>
      </c>
      <c r="E46" s="10">
        <v>9.58</v>
      </c>
      <c r="F46" s="18">
        <f t="shared" si="6"/>
        <v>15968.902000000002</v>
      </c>
      <c r="G46" s="52" t="s">
        <v>248</v>
      </c>
      <c r="H46" s="53" t="s">
        <v>249</v>
      </c>
      <c r="I46" s="78"/>
    </row>
    <row r="47" spans="1:9" ht="69.75" customHeight="1">
      <c r="A47" s="46" t="s">
        <v>140</v>
      </c>
      <c r="B47" s="54" t="s">
        <v>141</v>
      </c>
      <c r="C47" s="48" t="s">
        <v>72</v>
      </c>
      <c r="D47" s="55">
        <v>146</v>
      </c>
      <c r="E47" s="10">
        <v>99.61</v>
      </c>
      <c r="F47" s="18">
        <f t="shared" si="6"/>
        <v>14543.06</v>
      </c>
      <c r="G47" s="56" t="s">
        <v>142</v>
      </c>
      <c r="H47" s="57" t="s">
        <v>143</v>
      </c>
      <c r="I47" s="78"/>
    </row>
    <row r="48" spans="1:9" ht="62.25" customHeight="1">
      <c r="A48" s="46" t="s">
        <v>144</v>
      </c>
      <c r="B48" s="50" t="s">
        <v>145</v>
      </c>
      <c r="C48" s="48" t="s">
        <v>19</v>
      </c>
      <c r="D48" s="49"/>
      <c r="E48" s="10">
        <v>11.44</v>
      </c>
      <c r="F48" s="18">
        <f t="shared" si="6"/>
        <v>0</v>
      </c>
      <c r="G48" s="58" t="s">
        <v>250</v>
      </c>
      <c r="H48" s="59" t="s">
        <v>146</v>
      </c>
      <c r="I48" s="78"/>
    </row>
    <row r="49" spans="1:9" ht="61.5" customHeight="1">
      <c r="A49" s="46" t="s">
        <v>147</v>
      </c>
      <c r="B49" s="50" t="s">
        <v>148</v>
      </c>
      <c r="C49" s="48" t="s">
        <v>19</v>
      </c>
      <c r="D49" s="55">
        <v>649.5</v>
      </c>
      <c r="E49" s="10">
        <v>128.94</v>
      </c>
      <c r="F49" s="18">
        <f t="shared" si="6"/>
        <v>83746.53</v>
      </c>
      <c r="G49" s="58" t="s">
        <v>251</v>
      </c>
      <c r="H49" s="59" t="s">
        <v>150</v>
      </c>
      <c r="I49" s="78"/>
    </row>
    <row r="50" spans="1:9" ht="57.75" customHeight="1">
      <c r="A50" s="46" t="s">
        <v>151</v>
      </c>
      <c r="B50" s="54" t="s">
        <v>152</v>
      </c>
      <c r="C50" s="48" t="s">
        <v>19</v>
      </c>
      <c r="D50" s="55">
        <v>287.39999999999998</v>
      </c>
      <c r="E50" s="10">
        <v>142.51</v>
      </c>
      <c r="F50" s="18">
        <f t="shared" si="6"/>
        <v>40957.373999999996</v>
      </c>
      <c r="G50" s="60" t="s">
        <v>153</v>
      </c>
      <c r="H50" s="61" t="s">
        <v>154</v>
      </c>
      <c r="I50" s="78"/>
    </row>
    <row r="51" spans="1:9" ht="68.25" customHeight="1">
      <c r="A51" s="46" t="s">
        <v>155</v>
      </c>
      <c r="B51" s="54" t="s">
        <v>156</v>
      </c>
      <c r="C51" s="48" t="s">
        <v>19</v>
      </c>
      <c r="D51" s="55">
        <f>323.7-D50-D54</f>
        <v>30.900000000000013</v>
      </c>
      <c r="E51" s="10">
        <v>354.69</v>
      </c>
      <c r="F51" s="18">
        <f t="shared" si="6"/>
        <v>10959.921000000004</v>
      </c>
      <c r="G51" s="62" t="s">
        <v>157</v>
      </c>
      <c r="H51" s="63" t="s">
        <v>158</v>
      </c>
      <c r="I51" s="78"/>
    </row>
    <row r="52" spans="1:9" ht="67.5" customHeight="1">
      <c r="A52" s="46" t="s">
        <v>159</v>
      </c>
      <c r="B52" s="54" t="s">
        <v>160</v>
      </c>
      <c r="C52" s="48" t="s">
        <v>19</v>
      </c>
      <c r="D52" s="55">
        <v>183.3</v>
      </c>
      <c r="E52" s="10">
        <v>223.01</v>
      </c>
      <c r="F52" s="18">
        <f t="shared" si="6"/>
        <v>40877.733</v>
      </c>
      <c r="G52" s="16" t="s">
        <v>161</v>
      </c>
      <c r="H52" s="16" t="s">
        <v>162</v>
      </c>
      <c r="I52" s="78"/>
    </row>
    <row r="53" spans="1:9" ht="99" customHeight="1">
      <c r="A53" s="46" t="s">
        <v>163</v>
      </c>
      <c r="B53" s="50" t="s">
        <v>164</v>
      </c>
      <c r="C53" s="48" t="s">
        <v>165</v>
      </c>
      <c r="D53" s="49">
        <v>16531</v>
      </c>
      <c r="E53" s="10">
        <v>0.86</v>
      </c>
      <c r="F53" s="18">
        <f t="shared" si="6"/>
        <v>14216.66</v>
      </c>
      <c r="G53" s="52" t="s">
        <v>166</v>
      </c>
      <c r="H53" s="64" t="s">
        <v>167</v>
      </c>
      <c r="I53" s="78"/>
    </row>
    <row r="54" spans="1:9" ht="59.25" customHeight="1">
      <c r="A54" s="46" t="s">
        <v>168</v>
      </c>
      <c r="B54" s="54" t="s">
        <v>169</v>
      </c>
      <c r="C54" s="48" t="s">
        <v>19</v>
      </c>
      <c r="D54" s="49">
        <f>9*0.6</f>
        <v>5.3999999999999995</v>
      </c>
      <c r="E54" s="10">
        <v>354.69</v>
      </c>
      <c r="F54" s="18">
        <f t="shared" si="6"/>
        <v>1915.3259999999998</v>
      </c>
      <c r="G54" s="65" t="s">
        <v>170</v>
      </c>
      <c r="H54" s="66" t="s">
        <v>154</v>
      </c>
      <c r="I54" s="78"/>
    </row>
    <row r="55" spans="1:9" ht="24">
      <c r="A55" s="46" t="s">
        <v>171</v>
      </c>
      <c r="B55" s="67" t="s">
        <v>172</v>
      </c>
      <c r="C55" s="48"/>
      <c r="D55" s="49"/>
      <c r="E55" s="10"/>
      <c r="F55" s="18"/>
      <c r="G55" s="10"/>
      <c r="H55" s="51"/>
      <c r="I55" s="75"/>
    </row>
    <row r="56" spans="1:9" ht="97.5" customHeight="1">
      <c r="A56" s="68" t="s">
        <v>136</v>
      </c>
      <c r="B56" s="69" t="s">
        <v>173</v>
      </c>
      <c r="C56" s="70" t="s">
        <v>19</v>
      </c>
      <c r="D56" s="71">
        <v>289.10000000000002</v>
      </c>
      <c r="E56" s="45">
        <v>9.58</v>
      </c>
      <c r="F56" s="18">
        <f t="shared" ref="F56:F62" si="7">E56*D56</f>
        <v>2769.5780000000004</v>
      </c>
      <c r="G56" s="52" t="s">
        <v>248</v>
      </c>
      <c r="H56" s="53" t="s">
        <v>249</v>
      </c>
      <c r="I56" s="75"/>
    </row>
    <row r="57" spans="1:9" ht="63" customHeight="1">
      <c r="A57" s="72" t="s">
        <v>140</v>
      </c>
      <c r="B57" s="50" t="s">
        <v>148</v>
      </c>
      <c r="C57" s="48" t="s">
        <v>19</v>
      </c>
      <c r="D57" s="55">
        <v>95.2</v>
      </c>
      <c r="E57" s="10">
        <v>128.94</v>
      </c>
      <c r="F57" s="18">
        <f t="shared" si="7"/>
        <v>12275.088</v>
      </c>
      <c r="G57" s="73" t="s">
        <v>252</v>
      </c>
      <c r="H57" s="59" t="s">
        <v>146</v>
      </c>
      <c r="I57" s="78"/>
    </row>
    <row r="58" spans="1:9" ht="64.5" customHeight="1">
      <c r="A58" s="46" t="s">
        <v>144</v>
      </c>
      <c r="B58" s="54" t="s">
        <v>175</v>
      </c>
      <c r="C58" s="48" t="s">
        <v>19</v>
      </c>
      <c r="D58" s="55">
        <v>19.899999999999999</v>
      </c>
      <c r="E58" s="10">
        <v>156.76</v>
      </c>
      <c r="F58" s="18">
        <f t="shared" si="7"/>
        <v>3119.5239999999994</v>
      </c>
      <c r="G58" s="60" t="s">
        <v>153</v>
      </c>
      <c r="H58" s="61" t="s">
        <v>154</v>
      </c>
      <c r="I58" s="75"/>
    </row>
    <row r="59" spans="1:9" ht="69" customHeight="1">
      <c r="A59" s="46" t="s">
        <v>147</v>
      </c>
      <c r="B59" s="54" t="s">
        <v>176</v>
      </c>
      <c r="C59" s="48" t="s">
        <v>19</v>
      </c>
      <c r="D59" s="55">
        <v>63.6</v>
      </c>
      <c r="E59" s="10">
        <v>390.16</v>
      </c>
      <c r="F59" s="18">
        <f t="shared" si="7"/>
        <v>24814.176000000003</v>
      </c>
      <c r="G59" s="62" t="s">
        <v>157</v>
      </c>
      <c r="H59" s="63" t="s">
        <v>158</v>
      </c>
      <c r="I59" s="75"/>
    </row>
    <row r="60" spans="1:9" ht="63.75" customHeight="1">
      <c r="A60" s="46" t="s">
        <v>151</v>
      </c>
      <c r="B60" s="54" t="s">
        <v>169</v>
      </c>
      <c r="C60" s="48" t="s">
        <v>19</v>
      </c>
      <c r="D60" s="49">
        <v>1</v>
      </c>
      <c r="E60" s="10">
        <v>354.69</v>
      </c>
      <c r="F60" s="18">
        <f t="shared" si="7"/>
        <v>354.69</v>
      </c>
      <c r="G60" s="65" t="s">
        <v>170</v>
      </c>
      <c r="H60" s="66" t="s">
        <v>154</v>
      </c>
      <c r="I60" s="75"/>
    </row>
    <row r="61" spans="1:9" ht="69.75" customHeight="1">
      <c r="A61" s="46" t="s">
        <v>155</v>
      </c>
      <c r="B61" s="54" t="s">
        <v>160</v>
      </c>
      <c r="C61" s="48" t="s">
        <v>19</v>
      </c>
      <c r="D61" s="55">
        <v>183.3</v>
      </c>
      <c r="E61" s="10">
        <v>223.01</v>
      </c>
      <c r="F61" s="18">
        <f t="shared" si="7"/>
        <v>40877.733</v>
      </c>
      <c r="G61" s="16" t="s">
        <v>161</v>
      </c>
      <c r="H61" s="16" t="s">
        <v>162</v>
      </c>
      <c r="I61" s="75"/>
    </row>
    <row r="62" spans="1:9" ht="102" customHeight="1">
      <c r="A62" s="46" t="s">
        <v>159</v>
      </c>
      <c r="B62" s="50" t="s">
        <v>164</v>
      </c>
      <c r="C62" s="48" t="s">
        <v>165</v>
      </c>
      <c r="D62" s="49">
        <v>16531</v>
      </c>
      <c r="E62" s="10">
        <v>0.86</v>
      </c>
      <c r="F62" s="18">
        <f t="shared" si="7"/>
        <v>14216.66</v>
      </c>
      <c r="G62" s="52" t="s">
        <v>166</v>
      </c>
      <c r="H62" s="64" t="s">
        <v>167</v>
      </c>
      <c r="I62" s="75"/>
    </row>
    <row r="63" spans="1:9" ht="20.100000000000001" customHeight="1">
      <c r="A63" s="46" t="s">
        <v>177</v>
      </c>
      <c r="B63" s="47" t="s">
        <v>178</v>
      </c>
      <c r="C63" s="48"/>
      <c r="D63" s="49"/>
      <c r="E63" s="10"/>
      <c r="F63" s="18"/>
      <c r="G63" s="52"/>
      <c r="H63" s="64"/>
      <c r="I63" s="75"/>
    </row>
    <row r="64" spans="1:9" ht="20.100000000000001" customHeight="1">
      <c r="A64" s="46" t="s">
        <v>99</v>
      </c>
      <c r="B64" s="50" t="s">
        <v>179</v>
      </c>
      <c r="C64" s="48"/>
      <c r="D64" s="49"/>
      <c r="E64" s="10"/>
      <c r="F64" s="18"/>
      <c r="G64" s="15"/>
      <c r="H64" s="51"/>
      <c r="I64" s="75"/>
    </row>
    <row r="65" spans="1:9" ht="90" customHeight="1">
      <c r="A65" s="46" t="s">
        <v>136</v>
      </c>
      <c r="B65" s="50" t="s">
        <v>137</v>
      </c>
      <c r="C65" s="48" t="s">
        <v>19</v>
      </c>
      <c r="D65" s="49">
        <f>1*1.3*270+0.5*0.5*3.14*3</f>
        <v>353.35500000000002</v>
      </c>
      <c r="E65" s="10">
        <v>16.86</v>
      </c>
      <c r="F65" s="18">
        <f t="shared" ref="F65:F69" si="8">E65*D65</f>
        <v>5957.5653000000002</v>
      </c>
      <c r="G65" s="52" t="s">
        <v>253</v>
      </c>
      <c r="H65" s="53" t="s">
        <v>261</v>
      </c>
      <c r="I65" s="78"/>
    </row>
    <row r="66" spans="1:9" ht="66" customHeight="1">
      <c r="A66" s="46" t="s">
        <v>155</v>
      </c>
      <c r="B66" s="54" t="s">
        <v>262</v>
      </c>
      <c r="C66" s="48" t="s">
        <v>72</v>
      </c>
      <c r="D66" s="55">
        <f>60+125</f>
        <v>185</v>
      </c>
      <c r="E66" s="10">
        <v>22</v>
      </c>
      <c r="F66" s="18">
        <f t="shared" si="8"/>
        <v>4070</v>
      </c>
      <c r="G66" s="56" t="s">
        <v>185</v>
      </c>
      <c r="H66" s="57" t="s">
        <v>186</v>
      </c>
      <c r="I66" s="78"/>
    </row>
    <row r="67" spans="1:9" ht="68.099999999999994" customHeight="1">
      <c r="A67" s="46" t="s">
        <v>159</v>
      </c>
      <c r="B67" s="54" t="s">
        <v>263</v>
      </c>
      <c r="C67" s="48" t="s">
        <v>72</v>
      </c>
      <c r="D67" s="55">
        <v>85</v>
      </c>
      <c r="E67" s="10">
        <v>32</v>
      </c>
      <c r="F67" s="18">
        <f t="shared" si="8"/>
        <v>2720</v>
      </c>
      <c r="G67" s="56" t="s">
        <v>185</v>
      </c>
      <c r="H67" s="57" t="s">
        <v>186</v>
      </c>
      <c r="I67" s="78"/>
    </row>
    <row r="68" spans="1:9" ht="68.099999999999994" customHeight="1">
      <c r="A68" s="46" t="s">
        <v>163</v>
      </c>
      <c r="B68" s="50" t="s">
        <v>190</v>
      </c>
      <c r="C68" s="48" t="s">
        <v>19</v>
      </c>
      <c r="D68" s="55">
        <v>275</v>
      </c>
      <c r="E68" s="10">
        <v>100</v>
      </c>
      <c r="F68" s="18">
        <f t="shared" si="8"/>
        <v>27500</v>
      </c>
      <c r="G68" s="73" t="s">
        <v>258</v>
      </c>
      <c r="H68" s="59" t="s">
        <v>192</v>
      </c>
      <c r="I68" s="78"/>
    </row>
    <row r="69" spans="1:9" ht="62.25" customHeight="1">
      <c r="A69" s="46" t="s">
        <v>168</v>
      </c>
      <c r="B69" s="54" t="s">
        <v>175</v>
      </c>
      <c r="C69" s="48" t="s">
        <v>19</v>
      </c>
      <c r="D69" s="55">
        <v>0</v>
      </c>
      <c r="E69" s="10">
        <v>142.51</v>
      </c>
      <c r="F69" s="18">
        <f t="shared" si="8"/>
        <v>0</v>
      </c>
      <c r="G69" s="60" t="s">
        <v>153</v>
      </c>
      <c r="H69" s="61" t="s">
        <v>154</v>
      </c>
      <c r="I69" s="75"/>
    </row>
    <row r="70" spans="1:9" ht="30" customHeight="1">
      <c r="A70" s="79" t="s">
        <v>77</v>
      </c>
      <c r="B70" s="50" t="s">
        <v>193</v>
      </c>
      <c r="C70" s="80" t="s">
        <v>194</v>
      </c>
      <c r="D70" s="55">
        <v>6</v>
      </c>
      <c r="E70" s="10"/>
      <c r="F70" s="18"/>
      <c r="G70" s="56"/>
      <c r="H70" s="57"/>
      <c r="I70" s="78"/>
    </row>
    <row r="71" spans="1:9" ht="62.25" customHeight="1">
      <c r="A71" s="79" t="s">
        <v>195</v>
      </c>
      <c r="B71" s="50" t="s">
        <v>196</v>
      </c>
      <c r="C71" s="48" t="s">
        <v>19</v>
      </c>
      <c r="D71" s="55">
        <f>0.67*6</f>
        <v>4.0200000000000005</v>
      </c>
      <c r="E71" s="10">
        <v>213.77</v>
      </c>
      <c r="F71" s="18">
        <f t="shared" ref="F71:F74" si="9">E71*D71</f>
        <v>859.35540000000015</v>
      </c>
      <c r="G71" s="60" t="s">
        <v>153</v>
      </c>
      <c r="H71" s="61" t="s">
        <v>154</v>
      </c>
      <c r="I71" s="78"/>
    </row>
    <row r="72" spans="1:9" ht="71.25" customHeight="1">
      <c r="A72" s="79" t="s">
        <v>197</v>
      </c>
      <c r="B72" s="54" t="s">
        <v>198</v>
      </c>
      <c r="C72" s="48" t="s">
        <v>19</v>
      </c>
      <c r="D72" s="55">
        <f>1.49*6</f>
        <v>8.94</v>
      </c>
      <c r="E72" s="10">
        <v>354.69</v>
      </c>
      <c r="F72" s="18">
        <f t="shared" si="9"/>
        <v>3170.9285999999997</v>
      </c>
      <c r="G72" s="62" t="s">
        <v>199</v>
      </c>
      <c r="H72" s="63" t="s">
        <v>158</v>
      </c>
      <c r="I72" s="78"/>
    </row>
    <row r="73" spans="1:9" ht="84" customHeight="1">
      <c r="A73" s="79" t="s">
        <v>200</v>
      </c>
      <c r="B73" s="50" t="s">
        <v>201</v>
      </c>
      <c r="C73" s="80" t="s">
        <v>202</v>
      </c>
      <c r="D73" s="55">
        <v>6</v>
      </c>
      <c r="E73" s="10">
        <v>299.75</v>
      </c>
      <c r="F73" s="18">
        <f t="shared" si="9"/>
        <v>1798.5</v>
      </c>
      <c r="G73" s="81" t="s">
        <v>203</v>
      </c>
      <c r="H73" s="57" t="s">
        <v>204</v>
      </c>
      <c r="I73" s="78"/>
    </row>
    <row r="74" spans="1:9" ht="99.95" customHeight="1">
      <c r="A74" s="79" t="s">
        <v>205</v>
      </c>
      <c r="B74" s="50" t="s">
        <v>206</v>
      </c>
      <c r="C74" s="80" t="s">
        <v>165</v>
      </c>
      <c r="D74" s="55">
        <f>6*223.55</f>
        <v>1341.3000000000002</v>
      </c>
      <c r="E74" s="10">
        <v>0.86</v>
      </c>
      <c r="F74" s="18">
        <f t="shared" si="9"/>
        <v>1153.518</v>
      </c>
      <c r="G74" s="52" t="s">
        <v>166</v>
      </c>
      <c r="H74" s="64" t="s">
        <v>167</v>
      </c>
      <c r="I74" s="78"/>
    </row>
    <row r="75" spans="1:9" ht="30" customHeight="1">
      <c r="A75" s="46" t="s">
        <v>222</v>
      </c>
      <c r="B75" s="50" t="s">
        <v>223</v>
      </c>
      <c r="C75" s="80" t="s">
        <v>224</v>
      </c>
      <c r="D75" s="55">
        <f>49+36-39</f>
        <v>46</v>
      </c>
      <c r="E75" s="10"/>
      <c r="F75" s="18"/>
      <c r="G75" s="56"/>
      <c r="H75" s="57"/>
      <c r="I75" s="78"/>
    </row>
    <row r="76" spans="1:9" ht="75.95" customHeight="1">
      <c r="A76" s="46" t="s">
        <v>225</v>
      </c>
      <c r="B76" s="50" t="s">
        <v>264</v>
      </c>
      <c r="C76" s="80" t="s">
        <v>224</v>
      </c>
      <c r="D76" s="55">
        <v>9</v>
      </c>
      <c r="E76" s="10">
        <v>713.44</v>
      </c>
      <c r="F76" s="18">
        <f>E76*D76</f>
        <v>6420.9600000000009</v>
      </c>
      <c r="G76" s="82" t="s">
        <v>265</v>
      </c>
      <c r="H76" s="41" t="s">
        <v>266</v>
      </c>
      <c r="I76" s="78"/>
    </row>
    <row r="77" spans="1:9" ht="35.1" customHeight="1">
      <c r="A77" s="83"/>
      <c r="B77" s="49"/>
      <c r="C77" s="49"/>
      <c r="D77" s="49"/>
      <c r="E77" s="10"/>
      <c r="F77" s="84">
        <f>SUM(F3:F76)</f>
        <v>4457444.8718000008</v>
      </c>
      <c r="G77" s="10"/>
      <c r="H77" s="11"/>
      <c r="I77" s="75"/>
    </row>
    <row r="78" spans="1:9" s="2" customFormat="1" ht="39" customHeight="1">
      <c r="A78" s="144" t="s">
        <v>231</v>
      </c>
      <c r="B78" s="145"/>
      <c r="C78" s="145"/>
      <c r="D78" s="145"/>
      <c r="E78" s="145"/>
      <c r="F78" s="145"/>
      <c r="G78" s="145"/>
      <c r="H78" s="145"/>
      <c r="I78" s="146"/>
    </row>
    <row r="79" spans="1:9" s="2" customFormat="1" ht="20.25" customHeight="1">
      <c r="A79" s="147"/>
      <c r="B79" s="148"/>
      <c r="C79" s="148"/>
      <c r="D79" s="148"/>
      <c r="E79" s="148"/>
      <c r="F79" s="148"/>
      <c r="G79" s="148"/>
      <c r="H79" s="148"/>
      <c r="I79" s="149"/>
    </row>
    <row r="80" spans="1:9" s="2" customFormat="1" ht="15" customHeight="1">
      <c r="A80" s="152" t="s">
        <v>232</v>
      </c>
      <c r="B80" s="153"/>
      <c r="C80" s="153"/>
      <c r="D80" s="153"/>
      <c r="E80" s="153"/>
      <c r="F80" s="153"/>
      <c r="G80" s="153"/>
      <c r="H80" s="153"/>
      <c r="I80" s="154"/>
    </row>
    <row r="81" spans="1:9" s="2" customFormat="1" ht="15" customHeight="1">
      <c r="A81" s="155" t="s">
        <v>233</v>
      </c>
      <c r="B81" s="156"/>
      <c r="C81" s="156"/>
      <c r="D81" s="156"/>
      <c r="E81" s="156"/>
      <c r="F81" s="156"/>
      <c r="G81" s="156"/>
      <c r="H81" s="156"/>
      <c r="I81" s="157"/>
    </row>
    <row r="82" spans="1:9" s="2" customFormat="1" ht="15" customHeight="1">
      <c r="A82" s="155" t="s">
        <v>234</v>
      </c>
      <c r="B82" s="156"/>
      <c r="C82" s="156"/>
      <c r="D82" s="156"/>
      <c r="E82" s="156"/>
      <c r="F82" s="156"/>
      <c r="G82" s="156"/>
      <c r="H82" s="156"/>
      <c r="I82" s="157"/>
    </row>
    <row r="83" spans="1:9" s="2" customFormat="1" ht="15" customHeight="1">
      <c r="A83" s="155" t="s">
        <v>235</v>
      </c>
      <c r="B83" s="156"/>
      <c r="C83" s="156"/>
      <c r="D83" s="156"/>
      <c r="E83" s="156"/>
      <c r="F83" s="156"/>
      <c r="G83" s="156"/>
      <c r="H83" s="156"/>
      <c r="I83" s="157"/>
    </row>
    <row r="84" spans="1:9" s="2" customFormat="1" ht="15" customHeight="1">
      <c r="A84" s="141" t="s">
        <v>236</v>
      </c>
      <c r="B84" s="142"/>
      <c r="C84" s="142"/>
      <c r="D84" s="142"/>
      <c r="E84" s="142"/>
      <c r="F84" s="142"/>
      <c r="G84" s="142"/>
      <c r="H84" s="142"/>
      <c r="I84" s="143"/>
    </row>
  </sheetData>
  <sheetProtection password="C61B" sheet="1" objects="1" scenarios="1"/>
  <mergeCells count="7">
    <mergeCell ref="A84:I84"/>
    <mergeCell ref="A78:I79"/>
    <mergeCell ref="A1:I1"/>
    <mergeCell ref="A80:I80"/>
    <mergeCell ref="A81:I81"/>
    <mergeCell ref="A82:I82"/>
    <mergeCell ref="A83:I83"/>
  </mergeCells>
  <phoneticPr fontId="38" type="noConversion"/>
  <pageMargins left="0.70069444444444495" right="0.70069444444444495" top="0.75138888888888899" bottom="0.75138888888888899" header="0.29861111111111099" footer="0.29861111111111099"/>
  <pageSetup paperSize="9" scale="85" orientation="landscape" r:id="rId1"/>
  <headerFooter>
    <oddFooter>&amp;L项目经理部：
公司工程部：                              公司班子成员：           
                          &amp;C
                           &amp;R第&amp;P页，共&amp;N页。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LJFB-1</vt:lpstr>
      <vt:lpstr>LJFB-2</vt:lpstr>
      <vt:lpstr>LJFB-3</vt:lpstr>
      <vt:lpstr>'LJFB-1'!Print_Area</vt:lpstr>
      <vt:lpstr>'LJFB-2'!Print_Area</vt:lpstr>
      <vt:lpstr>'LJFB-3'!Print_Area</vt:lpstr>
      <vt:lpstr>'LJFB-1'!Print_Titles</vt:lpstr>
      <vt:lpstr>'LJFB-2'!Print_Titles</vt:lpstr>
      <vt:lpstr>'LJFB-3'!Print_Titles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2020-06-09T02:56:23Z</cp:lastPrinted>
  <dcterms:created xsi:type="dcterms:W3CDTF">2020-02-19T11:30:00Z</dcterms:created>
  <dcterms:modified xsi:type="dcterms:W3CDTF">2020-06-09T02:57:40Z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